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dison.hanlan\Desktop\"/>
    </mc:Choice>
  </mc:AlternateContent>
  <xr:revisionPtr revIDLastSave="0" documentId="8_{DFCA0028-3D7A-42DC-9C3A-369D4056BF39}" xr6:coauthVersionLast="34" xr6:coauthVersionMax="34" xr10:uidLastSave="{00000000-0000-0000-0000-000000000000}"/>
  <workbookProtection workbookAlgorithmName="SHA-512" workbookHashValue="MEUHuw+ZQ/UKwiowCscAWqfAQDrnxPW5NaH/RBop5/q1u0XDYJWFzfT0d4rWFb6/jPo5AfXlx0rnFHZyqcW3Ug==" workbookSaltValue="Vw8QaorplaecBc8M3z9D8Q==" workbookSpinCount="100000" lockStructure="1"/>
  <bookViews>
    <workbookView xWindow="0" yWindow="0" windowWidth="31065" windowHeight="13440" xr2:uid="{1A41D0ED-28A6-43AE-AB12-9AEDDD72D5EE}"/>
  </bookViews>
  <sheets>
    <sheet name="Main" sheetId="4" r:id="rId1"/>
    <sheet name="Revision Tracking" sheetId="7" state="hidden" r:id="rId2"/>
    <sheet name="From_KK" sheetId="3" state="hidden" r:id="rId3"/>
    <sheet name="Dictionary" sheetId="5" state="hidden" r:id="rId4"/>
    <sheet name="Chart Parameters" sheetId="2" state="hidden" r:id="rId5"/>
    <sheet name="Motors" sheetId="6" state="hidden" r:id="rId6"/>
  </sheets>
  <definedNames>
    <definedName name="_xlnm._FilterDatabase" localSheetId="5" hidden="1">Motors!$A$1:$CB$44</definedName>
    <definedName name="ballast_dropdown">OFFSET('Chart Parameters'!$K$83,0,0,'Chart Parameters'!$K$81,1)</definedName>
    <definedName name="ballast_list">'Chart Parameters'!$D$84:$D$88</definedName>
    <definedName name="ballast_lookup">'Chart Parameters'!$D$84:$G$89</definedName>
    <definedName name="ballast_mass">Main!$D$8</definedName>
    <definedName name="blank_statement">'Chart Parameters'!$K$4</definedName>
    <definedName name="Blind_Count">Main!$L$22</definedName>
    <definedName name="blind_weight">Main!$D$12</definedName>
    <definedName name="chart_five_value">'Chart Parameters'!$S$5</definedName>
    <definedName name="chart_four_value">'Chart Parameters'!$R$5</definedName>
    <definedName name="chart_on_off">'Chart Parameters'!$N$4:$N$5</definedName>
    <definedName name="chart_one_value">'Chart Parameters'!$O$5</definedName>
    <definedName name="chart_three_value">'Chart Parameters'!$Q$5</definedName>
    <definedName name="chart_two_value">'Chart Parameters'!$P$5</definedName>
    <definedName name="Control_Torque_requirement">Main!$AA$81</definedName>
    <definedName name="control_type">'Chart Parameters'!$C$19:$C$21</definedName>
    <definedName name="conv_gsm">Main!$F$54</definedName>
    <definedName name="conv_kg">Main!$F$53</definedName>
    <definedName name="conv_kgPm">Main!$F$51</definedName>
    <definedName name="conv_mm">Main!$F$52</definedName>
    <definedName name="conv_Nm">Main!$F$55</definedName>
    <definedName name="deflection_ratio">'Chart Parameters'!$E$11</definedName>
    <definedName name="DP_Ctrl_Fabric_Thickness">Main!$AA$74,Main!$AF$74</definedName>
    <definedName name="DP_Ctrl_Fabric_Weight">Main!$AA$73,Main!$AF$73</definedName>
    <definedName name="DP_Ctrl_Length">Main!$X$19,Main!$X$30,Main!$AB$30,Main!$AB$19,Main!$AF$19,Main!$AF$30,Main!$AJ$19,Main!$AJ$30,Main!$AN$19,Main!$AN$30,Main!$AA$71</definedName>
    <definedName name="DP_Ctrl_TORQUE">Main!$X$31,Main!$AB$31,Main!$AF$31,Main!$AJ$31,Main!$AN$31,Main!$AN$33,Main!$AJ$33,Main!$AF$33,Main!$AB$33</definedName>
    <definedName name="DP_Ctrl_Weight">Main!$X$29,Main!$AB$29,Main!$AF$29,Main!$AJ$29,Main!$AN$29,Main!$AA$82</definedName>
    <definedName name="drop_inc">'Chart Parameters'!$D$8</definedName>
    <definedName name="drop_start">'Chart Parameters'!$D$7</definedName>
    <definedName name="fabric_dens" localSheetId="0">Main!$D$10</definedName>
    <definedName name="fabric_density">Main!$X$38</definedName>
    <definedName name="fabric_dropdown">OFFSET('Chart Parameters'!$M$110,0,0,'Chart Parameters'!$M$108,1)</definedName>
    <definedName name="fabric_list">'Chart Parameters'!$D$110:$D$229</definedName>
    <definedName name="fabric_list_thickness">'Chart Parameters'!$N$110:$N$229</definedName>
    <definedName name="fabric_list_weight">'Chart Parameters'!$O$110:$O$229</definedName>
    <definedName name="fabric_lookup">'Chart Parameters'!$D$110:$J$229</definedName>
    <definedName name="fabric_thickness">Main!$X$39</definedName>
    <definedName name="Friction_Loss">Main!$X$63</definedName>
    <definedName name="gear">'Chart Parameters'!$C$262:$C$266</definedName>
    <definedName name="gear_lookup">'Chart Parameters'!$C$262:$E$266</definedName>
    <definedName name="gear_select">'Chart Parameters'!$C$20</definedName>
    <definedName name="input_ballast" localSheetId="0">Main!$L$16</definedName>
    <definedName name="input_control" localSheetId="0">Main!$L$18</definedName>
    <definedName name="input_drop">Main!$X$41</definedName>
    <definedName name="input_fabric" localSheetId="0">Main!$L$88</definedName>
    <definedName name="input_pwa" localSheetId="0">Main!$L$17</definedName>
    <definedName name="input_tube" localSheetId="0">Main!$L$20</definedName>
    <definedName name="input_wb" localSheetId="0">Main!$L$15</definedName>
    <definedName name="input_width">Main!$X$40</definedName>
    <definedName name="Language_available">OFFSET(Dictionary!$A$1,0,0,1,Dictionary!$H$2)</definedName>
    <definedName name="Language_Base">Dictionary!$A$2:$A$50</definedName>
    <definedName name="Language_Dictionary">Dictionary!$A$2:$E$50</definedName>
    <definedName name="Language_Selected">Main!$AF$2</definedName>
    <definedName name="Language_Translated">OFFSET(Dictionary!$A$2,0,MATCH(Language_Selected,Language_available,0)-1,ROW(Dictionary!$A$50),1)</definedName>
    <definedName name="Languages_ForSelection">Dictionary!$K$2:$K$3</definedName>
    <definedName name="Link_Capacity_Lookup">'Chart Parameters'!$C$306:$E$312</definedName>
    <definedName name="Link_Compatibility_Matrix">'Chart Parameters'!$AG$62:$AR$69</definedName>
    <definedName name="Link_Compatibility_System">'Chart Parameters'!$AF$62:$AF$69</definedName>
    <definedName name="Link_Compatibility_Tube">'Chart Parameters'!$AG$61:$AR$61</definedName>
    <definedName name="LINK_List">'Chart Parameters'!$C$306:$C$312</definedName>
    <definedName name="Link_Torque_Requirement">Main!$AA$83</definedName>
    <definedName name="motor_select">'Chart Parameters'!$C$21</definedName>
    <definedName name="pwa" localSheetId="0">Main!$D$11</definedName>
    <definedName name="pwa_list">'Chart Parameters'!$F$19:$F$20</definedName>
    <definedName name="pwa_no">'Chart Parameters'!$F$20</definedName>
    <definedName name="pwa_yes">'Chart Parameters'!$F$19</definedName>
    <definedName name="Radius_Tube">Main!$D$17</definedName>
    <definedName name="System_Compatibility_Control">'Chart Parameters'!$AB$27:$AB$55</definedName>
    <definedName name="System_Compatibility_Matrix">'Chart Parameters'!$AC$27:$AN$55</definedName>
    <definedName name="System_Compatibility_Tube">'Chart Parameters'!$AC$26:$AN$26</definedName>
    <definedName name="system_selected">'Chart Parameters'!$N$269</definedName>
    <definedName name="tube_dropdown">OFFSET('Chart Parameters'!$P$26,0,0,'Chart Parameters'!$P$24,1)</definedName>
    <definedName name="tube_list">'Chart Parameters'!$E$26:$E$53</definedName>
    <definedName name="tube_lookup">'Chart Parameters'!$G$26:$M$53</definedName>
    <definedName name="tube_select">OFFSET(OFFSET('Chart Parameters'!$AC$63,'Chart Parameters'!$T$60,0),0,0,SUM('Chart Parameters'!$O$79:$O$96),1)</definedName>
    <definedName name="tube_selected">Main!$X$27</definedName>
    <definedName name="tubeod">Main!$D$16</definedName>
    <definedName name="USL_User_Effort">Main!$D$60</definedName>
    <definedName name="wb_ballast_mass">Main!$D$9</definedName>
    <definedName name="wb_dropdown">OFFSET('Chart Parameters'!$K$61,0,0,'Chart Parameters'!$K$59,1)</definedName>
    <definedName name="wb_mass" localSheetId="0">Main!$D$7</definedName>
    <definedName name="weight_bar_list">'Chart Parameters'!$D$61:$D$76</definedName>
    <definedName name="weight_bar_lookup">'Chart Parameters'!$D$61:$G$76</definedName>
    <definedName name="width_inc">'Chart Parameters'!$D$5</definedName>
    <definedName name="width_start">'Chart Parameters'!$D$4</definedName>
    <definedName name="winder">'Chart Parameters'!$C$234:$C$257</definedName>
    <definedName name="winder_lookup">'Chart Parameters'!$C$234:$J$257</definedName>
    <definedName name="winder_select">'Chart Parameters'!$C$19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7" l="1"/>
  <c r="H36" i="7"/>
  <c r="H34" i="7"/>
  <c r="AG83" i="4" l="1"/>
  <c r="AC83" i="4"/>
  <c r="AG81" i="4" l="1"/>
  <c r="AC81" i="4"/>
  <c r="F20" i="2" l="1"/>
  <c r="G46" i="2"/>
  <c r="G45" i="2"/>
  <c r="G44" i="2"/>
  <c r="G40" i="2"/>
  <c r="G36" i="2"/>
  <c r="G35" i="2"/>
  <c r="G34" i="2"/>
  <c r="G33" i="2"/>
  <c r="G32" i="2"/>
  <c r="G31" i="2"/>
  <c r="G29" i="2"/>
  <c r="G28" i="2"/>
  <c r="G26" i="2"/>
  <c r="AA77" i="4" l="1"/>
  <c r="AN6" i="4"/>
  <c r="AJ6" i="4"/>
  <c r="AF6" i="4"/>
  <c r="AB6" i="4"/>
  <c r="X6" i="4"/>
  <c r="F271" i="2" l="1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270" i="2"/>
  <c r="J73" i="2" l="1"/>
  <c r="J69" i="2"/>
  <c r="J68" i="2"/>
  <c r="AC73" i="4" l="1"/>
  <c r="AC71" i="4"/>
  <c r="AO33" i="4" l="1"/>
  <c r="AK33" i="4"/>
  <c r="AG33" i="4"/>
  <c r="AN26" i="4"/>
  <c r="AO23" i="4"/>
  <c r="AO22" i="4"/>
  <c r="AO20" i="4"/>
  <c r="AN20" i="4"/>
  <c r="AJ26" i="4"/>
  <c r="AK23" i="4"/>
  <c r="AK22" i="4"/>
  <c r="AK20" i="4"/>
  <c r="AJ20" i="4"/>
  <c r="AF26" i="4"/>
  <c r="AG23" i="4"/>
  <c r="AG22" i="4"/>
  <c r="AG20" i="4"/>
  <c r="AF20" i="4"/>
  <c r="AB26" i="4"/>
  <c r="AC23" i="4"/>
  <c r="AC22" i="4"/>
  <c r="AC20" i="4"/>
  <c r="AB20" i="4"/>
  <c r="X26" i="4"/>
  <c r="X20" i="4"/>
  <c r="AC74" i="4"/>
  <c r="I7" i="5" l="1"/>
  <c r="H2" i="5"/>
  <c r="J88" i="2"/>
  <c r="J87" i="2"/>
  <c r="J83" i="2"/>
  <c r="J84" i="2" s="1"/>
  <c r="J85" i="2" s="1"/>
  <c r="J61" i="2"/>
  <c r="J62" i="2" s="1"/>
  <c r="W19" i="4" l="1"/>
  <c r="W9" i="4"/>
  <c r="D76" i="2"/>
  <c r="D75" i="2"/>
  <c r="D212" i="2"/>
  <c r="D180" i="2"/>
  <c r="D148" i="2"/>
  <c r="D116" i="2"/>
  <c r="D210" i="2"/>
  <c r="D87" i="2"/>
  <c r="D74" i="2"/>
  <c r="D73" i="2"/>
  <c r="D72" i="2"/>
  <c r="D71" i="2"/>
  <c r="D208" i="2"/>
  <c r="D176" i="2"/>
  <c r="D144" i="2"/>
  <c r="D112" i="2"/>
  <c r="G27" i="2"/>
  <c r="D70" i="2"/>
  <c r="D207" i="2"/>
  <c r="D175" i="2"/>
  <c r="D143" i="2"/>
  <c r="D111" i="2"/>
  <c r="D206" i="2"/>
  <c r="D174" i="2"/>
  <c r="D142" i="2"/>
  <c r="D110" i="2"/>
  <c r="D205" i="2"/>
  <c r="D173" i="2"/>
  <c r="D89" i="2"/>
  <c r="D69" i="2"/>
  <c r="G53" i="2"/>
  <c r="D68" i="2"/>
  <c r="D67" i="2"/>
  <c r="D204" i="2"/>
  <c r="D172" i="2"/>
  <c r="D140" i="2"/>
  <c r="D88" i="2"/>
  <c r="G51" i="2"/>
  <c r="D66" i="2"/>
  <c r="D65" i="2"/>
  <c r="D202" i="2"/>
  <c r="D170" i="2"/>
  <c r="D138" i="2"/>
  <c r="D86" i="2"/>
  <c r="G49" i="2"/>
  <c r="D201" i="2"/>
  <c r="D169" i="2"/>
  <c r="D137" i="2"/>
  <c r="D85" i="2"/>
  <c r="G48" i="2"/>
  <c r="D131" i="2"/>
  <c r="W80" i="4"/>
  <c r="D130" i="2"/>
  <c r="D115" i="2"/>
  <c r="D177" i="2"/>
  <c r="D64" i="2"/>
  <c r="D63" i="2"/>
  <c r="D200" i="2"/>
  <c r="D168" i="2"/>
  <c r="D136" i="2"/>
  <c r="D84" i="2"/>
  <c r="AE86" i="4"/>
  <c r="D198" i="2"/>
  <c r="D134" i="2"/>
  <c r="X86" i="4"/>
  <c r="D197" i="2"/>
  <c r="D133" i="2"/>
  <c r="AE70" i="4"/>
  <c r="D164" i="2"/>
  <c r="W70" i="4"/>
  <c r="D163" i="2"/>
  <c r="D194" i="2"/>
  <c r="D119" i="2"/>
  <c r="D118" i="2"/>
  <c r="D211" i="2"/>
  <c r="D113" i="2"/>
  <c r="D62" i="2"/>
  <c r="D199" i="2"/>
  <c r="D167" i="2"/>
  <c r="D135" i="2"/>
  <c r="D83" i="2"/>
  <c r="AB86" i="4"/>
  <c r="D166" i="2"/>
  <c r="D165" i="2"/>
  <c r="F19" i="2"/>
  <c r="D132" i="2"/>
  <c r="D195" i="2"/>
  <c r="D162" i="2"/>
  <c r="D127" i="2"/>
  <c r="D151" i="2"/>
  <c r="D149" i="2"/>
  <c r="D178" i="2"/>
  <c r="D171" i="2"/>
  <c r="D61" i="2"/>
  <c r="D229" i="2"/>
  <c r="D228" i="2"/>
  <c r="D196" i="2"/>
  <c r="G47" i="2"/>
  <c r="D120" i="2"/>
  <c r="D181" i="2"/>
  <c r="D114" i="2"/>
  <c r="D139" i="2"/>
  <c r="D227" i="2"/>
  <c r="D226" i="2"/>
  <c r="D225" i="2"/>
  <c r="D193" i="2"/>
  <c r="D161" i="2"/>
  <c r="D129" i="2"/>
  <c r="D192" i="2"/>
  <c r="D160" i="2"/>
  <c r="D128" i="2"/>
  <c r="G43" i="2"/>
  <c r="D191" i="2"/>
  <c r="D159" i="2"/>
  <c r="G42" i="2"/>
  <c r="D213" i="2"/>
  <c r="D146" i="2"/>
  <c r="G52" i="2"/>
  <c r="D224" i="2"/>
  <c r="D150" i="2"/>
  <c r="D209" i="2"/>
  <c r="D223" i="2"/>
  <c r="D222" i="2"/>
  <c r="D190" i="2"/>
  <c r="D158" i="2"/>
  <c r="D126" i="2"/>
  <c r="G41" i="2"/>
  <c r="D189" i="2"/>
  <c r="D157" i="2"/>
  <c r="D125" i="2"/>
  <c r="D183" i="2"/>
  <c r="D147" i="2"/>
  <c r="D203" i="2"/>
  <c r="D221" i="2"/>
  <c r="D220" i="2"/>
  <c r="D188" i="2"/>
  <c r="D156" i="2"/>
  <c r="D124" i="2"/>
  <c r="G39" i="2"/>
  <c r="G30" i="2"/>
  <c r="D141" i="2"/>
  <c r="D219" i="2"/>
  <c r="D187" i="2"/>
  <c r="D155" i="2"/>
  <c r="D123" i="2"/>
  <c r="G38" i="2"/>
  <c r="D186" i="2"/>
  <c r="D154" i="2"/>
  <c r="D122" i="2"/>
  <c r="G37" i="2"/>
  <c r="D185" i="2"/>
  <c r="D153" i="2"/>
  <c r="D121" i="2"/>
  <c r="D182" i="2"/>
  <c r="D179" i="2"/>
  <c r="D145" i="2"/>
  <c r="G50" i="2"/>
  <c r="D218" i="2"/>
  <c r="D217" i="2"/>
  <c r="D216" i="2"/>
  <c r="D184" i="2"/>
  <c r="D152" i="2"/>
  <c r="D117" i="2"/>
  <c r="D215" i="2"/>
  <c r="D214" i="2"/>
  <c r="AB8" i="4"/>
  <c r="AE33" i="4" s="1"/>
  <c r="X8" i="4"/>
  <c r="AA33" i="4" s="1"/>
  <c r="AJ8" i="4"/>
  <c r="AM33" i="4" s="1"/>
  <c r="AN8" i="4"/>
  <c r="AF8" i="4"/>
  <c r="AI33" i="4" s="1"/>
  <c r="AE72" i="4"/>
  <c r="AE75" i="4"/>
  <c r="AE76" i="4"/>
  <c r="AE74" i="4"/>
  <c r="AE73" i="4"/>
  <c r="Z74" i="4"/>
  <c r="Z73" i="4"/>
  <c r="W78" i="4"/>
  <c r="AI7" i="4"/>
  <c r="W72" i="4"/>
  <c r="AA7" i="4"/>
  <c r="W7" i="4"/>
  <c r="W18" i="4" s="1"/>
  <c r="W77" i="4"/>
  <c r="W75" i="4"/>
  <c r="AE7" i="4"/>
  <c r="W76" i="4"/>
  <c r="W71" i="4"/>
  <c r="W8" i="4"/>
  <c r="AM8" i="4"/>
  <c r="AE8" i="4"/>
  <c r="AM7" i="4"/>
  <c r="AA8" i="4"/>
  <c r="AI8" i="4"/>
  <c r="I8" i="5"/>
  <c r="I6" i="5"/>
  <c r="J86" i="2"/>
  <c r="J63" i="2"/>
  <c r="J64" i="2" s="1"/>
  <c r="L113" i="2"/>
  <c r="L112" i="2"/>
  <c r="L111" i="2"/>
  <c r="L110" i="2"/>
  <c r="AO19" i="4"/>
  <c r="AK19" i="4"/>
  <c r="AG19" i="4"/>
  <c r="G58" i="2" l="1"/>
  <c r="O229" i="2"/>
  <c r="N229" i="2"/>
  <c r="D107" i="2"/>
  <c r="G81" i="2"/>
  <c r="K85" i="2" s="1"/>
  <c r="AJ55" i="4"/>
  <c r="AB55" i="4"/>
  <c r="X55" i="4"/>
  <c r="AF55" i="4"/>
  <c r="AN55" i="4"/>
  <c r="G23" i="2"/>
  <c r="J89" i="2"/>
  <c r="K89" i="2" s="1"/>
  <c r="J65" i="2"/>
  <c r="L114" i="2"/>
  <c r="K84" i="2" l="1"/>
  <c r="K83" i="2"/>
  <c r="K87" i="2"/>
  <c r="K86" i="2"/>
  <c r="K88" i="2"/>
  <c r="J66" i="2"/>
  <c r="M110" i="2"/>
  <c r="L115" i="2"/>
  <c r="M111" i="2" s="1"/>
  <c r="J67" i="2" l="1"/>
  <c r="J70" i="2" s="1"/>
  <c r="J71" i="2" s="1"/>
  <c r="K81" i="2"/>
  <c r="AA76" i="4" s="1"/>
  <c r="L116" i="2"/>
  <c r="AB25" i="4" l="1"/>
  <c r="X25" i="4"/>
  <c r="AN25" i="4"/>
  <c r="AF25" i="4"/>
  <c r="AJ25" i="4"/>
  <c r="J72" i="2"/>
  <c r="J74" i="2" s="1"/>
  <c r="J75" i="2" s="1"/>
  <c r="J76" i="2" s="1"/>
  <c r="K75" i="2" s="1"/>
  <c r="M112" i="2"/>
  <c r="L117" i="2"/>
  <c r="L118" i="2" l="1"/>
  <c r="M113" i="2"/>
  <c r="L119" i="2" l="1"/>
  <c r="M114" i="2"/>
  <c r="L120" i="2" l="1"/>
  <c r="L121" i="2" l="1"/>
  <c r="L122" i="2" l="1"/>
  <c r="L123" i="2" l="1"/>
  <c r="L124" i="2" l="1"/>
  <c r="L125" i="2" s="1"/>
  <c r="L126" i="2" l="1"/>
  <c r="L127" i="2" l="1"/>
  <c r="L128" i="2" l="1"/>
  <c r="L129" i="2" l="1"/>
  <c r="L130" i="2" l="1"/>
  <c r="L131" i="2" l="1"/>
  <c r="L132" i="2" s="1"/>
  <c r="L133" i="2" s="1"/>
  <c r="L134" i="2" l="1"/>
  <c r="L135" i="2" s="1"/>
  <c r="L136" i="2" s="1"/>
  <c r="L137" i="2" s="1"/>
  <c r="L138" i="2" s="1"/>
  <c r="L139" i="2" s="1"/>
  <c r="L140" i="2" s="1"/>
  <c r="L141" i="2" s="1"/>
  <c r="L142" i="2" s="1"/>
  <c r="L143" i="2" s="1"/>
  <c r="L144" i="2" s="1"/>
  <c r="L145" i="2" s="1"/>
  <c r="L146" i="2" s="1"/>
  <c r="L147" i="2" s="1"/>
  <c r="L148" i="2" s="1"/>
  <c r="L149" i="2" s="1"/>
  <c r="L150" i="2" s="1"/>
  <c r="L151" i="2" s="1"/>
  <c r="L152" i="2" s="1"/>
  <c r="L153" i="2" s="1"/>
  <c r="L154" i="2" s="1"/>
  <c r="L155" i="2" s="1"/>
  <c r="L156" i="2" s="1"/>
  <c r="L157" i="2" s="1"/>
  <c r="L158" i="2" s="1"/>
  <c r="L159" i="2" s="1"/>
  <c r="L160" i="2" s="1"/>
  <c r="L161" i="2" s="1"/>
  <c r="L162" i="2" s="1"/>
  <c r="L163" i="2" s="1"/>
  <c r="L164" i="2" s="1"/>
  <c r="L165" i="2" s="1"/>
  <c r="L166" i="2" s="1"/>
  <c r="L167" i="2" s="1"/>
  <c r="L168" i="2" s="1"/>
  <c r="L169" i="2" s="1"/>
  <c r="L170" i="2" s="1"/>
  <c r="L171" i="2" s="1"/>
  <c r="L172" i="2" s="1"/>
  <c r="L173" i="2" s="1"/>
  <c r="L174" i="2" s="1"/>
  <c r="L175" i="2" s="1"/>
  <c r="L176" i="2" s="1"/>
  <c r="L177" i="2" s="1"/>
  <c r="L178" i="2" s="1"/>
  <c r="L179" i="2" s="1"/>
  <c r="L180" i="2" s="1"/>
  <c r="L181" i="2" s="1"/>
  <c r="L182" i="2" s="1"/>
  <c r="L183" i="2" s="1"/>
  <c r="L184" i="2" s="1"/>
  <c r="L185" i="2" s="1"/>
  <c r="L186" i="2" s="1"/>
  <c r="L187" i="2" s="1"/>
  <c r="L188" i="2" s="1"/>
  <c r="L189" i="2" s="1"/>
  <c r="L190" i="2" s="1"/>
  <c r="L191" i="2" s="1"/>
  <c r="L192" i="2" s="1"/>
  <c r="L193" i="2" s="1"/>
  <c r="L194" i="2" s="1"/>
  <c r="L195" i="2" s="1"/>
  <c r="L196" i="2" s="1"/>
  <c r="L197" i="2" s="1"/>
  <c r="L198" i="2" s="1"/>
  <c r="L199" i="2" s="1"/>
  <c r="L200" i="2" s="1"/>
  <c r="L201" i="2" s="1"/>
  <c r="L202" i="2" s="1"/>
  <c r="L203" i="2" s="1"/>
  <c r="L204" i="2" s="1"/>
  <c r="L205" i="2" s="1"/>
  <c r="L206" i="2" s="1"/>
  <c r="L207" i="2" s="1"/>
  <c r="L208" i="2" s="1"/>
  <c r="L209" i="2" s="1"/>
  <c r="L210" i="2" s="1"/>
  <c r="L211" i="2" s="1"/>
  <c r="L212" i="2" s="1"/>
  <c r="L213" i="2" s="1"/>
  <c r="L214" i="2" s="1"/>
  <c r="L215" i="2" s="1"/>
  <c r="L216" i="2" s="1"/>
  <c r="L217" i="2" s="1"/>
  <c r="L218" i="2" s="1"/>
  <c r="L219" i="2" s="1"/>
  <c r="L220" i="2" s="1"/>
  <c r="L221" i="2" s="1"/>
  <c r="L222" i="2" s="1"/>
  <c r="L223" i="2" s="1"/>
  <c r="L224" i="2" s="1"/>
  <c r="L225" i="2" s="1"/>
  <c r="L226" i="2" s="1"/>
  <c r="L227" i="2" s="1"/>
  <c r="L228" i="2" s="1"/>
  <c r="M209" i="2" l="1"/>
  <c r="L229" i="2"/>
  <c r="M226" i="2" s="1"/>
  <c r="M134" i="2"/>
  <c r="M202" i="2"/>
  <c r="M176" i="2"/>
  <c r="M173" i="2"/>
  <c r="M135" i="2"/>
  <c r="M197" i="2"/>
  <c r="M130" i="2"/>
  <c r="M142" i="2"/>
  <c r="M206" i="2"/>
  <c r="M201" i="2"/>
  <c r="M131" i="2"/>
  <c r="M184" i="2"/>
  <c r="M117" i="2"/>
  <c r="M211" i="2"/>
  <c r="M162" i="2"/>
  <c r="M159" i="2"/>
  <c r="M116" i="2"/>
  <c r="M218" i="2"/>
  <c r="M189" i="2"/>
  <c r="M137" i="2"/>
  <c r="M179" i="2"/>
  <c r="M208" i="2"/>
  <c r="M156" i="2"/>
  <c r="M115" i="2"/>
  <c r="M192" i="2"/>
  <c r="M220" i="2"/>
  <c r="M118" i="2"/>
  <c r="M205" i="2"/>
  <c r="M140" i="2"/>
  <c r="M136" i="2"/>
  <c r="M199" i="2"/>
  <c r="M169" i="2"/>
  <c r="M132" i="2"/>
  <c r="M212" i="2"/>
  <c r="M124" i="2"/>
  <c r="M149" i="2"/>
  <c r="M127" i="2"/>
  <c r="M153" i="2"/>
  <c r="M186" i="2"/>
  <c r="M171" i="2"/>
  <c r="M200" i="2"/>
  <c r="M188" i="2"/>
  <c r="M167" i="2"/>
  <c r="M175" i="2"/>
  <c r="M190" i="2"/>
  <c r="M172" i="2"/>
  <c r="M129" i="2"/>
  <c r="M191" i="2"/>
  <c r="M119" i="2"/>
  <c r="M145" i="2"/>
  <c r="M141" i="2"/>
  <c r="M227" i="2"/>
  <c r="M214" i="2"/>
  <c r="M170" i="2"/>
  <c r="M158" i="2"/>
  <c r="M222" i="2"/>
  <c r="M161" i="2"/>
  <c r="M193" i="2"/>
  <c r="M121" i="2"/>
  <c r="M180" i="2"/>
  <c r="M182" i="2"/>
  <c r="M217" i="2"/>
  <c r="M160" i="2"/>
  <c r="M155" i="2"/>
  <c r="M224" i="2"/>
  <c r="M221" i="2"/>
  <c r="M216" i="2"/>
  <c r="M122" i="2"/>
  <c r="M194" i="2"/>
  <c r="M165" i="2"/>
  <c r="M144" i="2"/>
  <c r="M207" i="2"/>
  <c r="M181" i="2"/>
  <c r="M147" i="2"/>
  <c r="M168" i="2"/>
  <c r="M210" i="2"/>
  <c r="M151" i="2"/>
  <c r="M148" i="2"/>
  <c r="M125" i="2"/>
  <c r="M146" i="2"/>
  <c r="M225" i="2"/>
  <c r="M223" i="2"/>
  <c r="M195" i="2"/>
  <c r="M157" i="2"/>
  <c r="M133" i="2"/>
  <c r="M183" i="2"/>
  <c r="M126" i="2"/>
  <c r="M154" i="2"/>
  <c r="M213" i="2"/>
  <c r="M196" i="2"/>
  <c r="M198" i="2"/>
  <c r="M177" i="2"/>
  <c r="M166" i="2"/>
  <c r="M178" i="2"/>
  <c r="M185" i="2"/>
  <c r="M120" i="2"/>
  <c r="M138" i="2"/>
  <c r="M152" i="2"/>
  <c r="M150" i="2"/>
  <c r="M123" i="2"/>
  <c r="M164" i="2"/>
  <c r="M187" i="2"/>
  <c r="M215" i="2"/>
  <c r="M174" i="2"/>
  <c r="M219" i="2"/>
  <c r="M128" i="2"/>
  <c r="M143" i="2"/>
  <c r="M163" i="2"/>
  <c r="M204" i="2"/>
  <c r="M139" i="2"/>
  <c r="M203" i="2"/>
  <c r="M228" i="2" l="1"/>
  <c r="O226" i="2"/>
  <c r="N226" i="2"/>
  <c r="O227" i="2"/>
  <c r="N227" i="2"/>
  <c r="O228" i="2"/>
  <c r="N228" i="2"/>
  <c r="M108" i="2"/>
  <c r="AA72" i="4" s="1"/>
  <c r="AJ21" i="4" l="1"/>
  <c r="AB21" i="4"/>
  <c r="AN21" i="4"/>
  <c r="X21" i="4"/>
  <c r="AF21" i="4"/>
  <c r="AG76" i="4"/>
  <c r="AG75" i="4"/>
  <c r="H306" i="2" l="1"/>
  <c r="AF62" i="2" l="1"/>
  <c r="L234" i="2" l="1"/>
  <c r="H270" i="2"/>
  <c r="O43" i="2"/>
  <c r="O42" i="2"/>
  <c r="O41" i="2"/>
  <c r="O39" i="2"/>
  <c r="O38" i="2"/>
  <c r="O37" i="2"/>
  <c r="O30" i="2"/>
  <c r="O27" i="2"/>
  <c r="O26" i="2"/>
  <c r="P26" i="2" l="1"/>
  <c r="O28" i="2"/>
  <c r="O29" i="2" l="1"/>
  <c r="P28" i="2" s="1"/>
  <c r="P27" i="2"/>
  <c r="O31" i="2" l="1"/>
  <c r="O32" i="2" s="1"/>
  <c r="O33" i="2" s="1"/>
  <c r="P29" i="2" l="1"/>
  <c r="P30" i="2"/>
  <c r="P31" i="2"/>
  <c r="O34" i="2"/>
  <c r="O35" i="2" s="1"/>
  <c r="O36" i="2" s="1"/>
  <c r="P32" i="2" l="1"/>
  <c r="P34" i="2"/>
  <c r="P33" i="2"/>
  <c r="O40" i="2"/>
  <c r="O44" i="2" s="1"/>
  <c r="O45" i="2" s="1"/>
  <c r="P36" i="2" l="1"/>
  <c r="O46" i="2"/>
  <c r="O47" i="2" l="1"/>
  <c r="O48" i="2" s="1"/>
  <c r="O49" i="2" s="1"/>
  <c r="O50" i="2" s="1"/>
  <c r="O51" i="2" s="1"/>
  <c r="O52" i="2" s="1"/>
  <c r="O53" i="2" s="1"/>
  <c r="P50" i="2" l="1"/>
  <c r="P39" i="2"/>
  <c r="P40" i="2"/>
  <c r="P49" i="2"/>
  <c r="P47" i="2"/>
  <c r="P42" i="2"/>
  <c r="P41" i="2"/>
  <c r="P38" i="2"/>
  <c r="P48" i="2"/>
  <c r="P37" i="2"/>
  <c r="P51" i="2"/>
  <c r="P53" i="2"/>
  <c r="P35" i="2"/>
  <c r="P44" i="2"/>
  <c r="P46" i="2"/>
  <c r="P52" i="2"/>
  <c r="P45" i="2"/>
  <c r="P43" i="2"/>
  <c r="P24" i="2" l="1"/>
  <c r="AA78" i="4" s="1"/>
  <c r="AJ27" i="4" l="1"/>
  <c r="AB27" i="4"/>
  <c r="AN27" i="4"/>
  <c r="X27" i="4"/>
  <c r="N269" i="2" s="1"/>
  <c r="I271" i="2" s="1"/>
  <c r="AF27" i="4"/>
  <c r="I275" i="2" l="1"/>
  <c r="I281" i="2"/>
  <c r="I277" i="2"/>
  <c r="I285" i="2"/>
  <c r="I276" i="2"/>
  <c r="I286" i="2"/>
  <c r="I287" i="2"/>
  <c r="I279" i="2"/>
  <c r="I283" i="2"/>
  <c r="I290" i="2"/>
  <c r="I280" i="2"/>
  <c r="I284" i="2"/>
  <c r="I288" i="2"/>
  <c r="I278" i="2"/>
  <c r="I282" i="2"/>
  <c r="I289" i="2"/>
  <c r="I291" i="2"/>
  <c r="I293" i="2"/>
  <c r="I292" i="2"/>
  <c r="I294" i="2"/>
  <c r="I295" i="2"/>
  <c r="I296" i="2"/>
  <c r="I297" i="2"/>
  <c r="I298" i="2"/>
  <c r="I300" i="2"/>
  <c r="I299" i="2"/>
  <c r="I301" i="2"/>
  <c r="I270" i="2"/>
  <c r="I311" i="2"/>
  <c r="M234" i="2"/>
  <c r="M250" i="2"/>
  <c r="M256" i="2"/>
  <c r="M251" i="2"/>
  <c r="I310" i="2"/>
  <c r="M238" i="2"/>
  <c r="M253" i="2"/>
  <c r="M255" i="2"/>
  <c r="M245" i="2"/>
  <c r="I309" i="2"/>
  <c r="M247" i="2"/>
  <c r="M243" i="2"/>
  <c r="I308" i="2"/>
  <c r="I307" i="2"/>
  <c r="M240" i="2"/>
  <c r="M239" i="2"/>
  <c r="M236" i="2"/>
  <c r="M241" i="2"/>
  <c r="M257" i="2"/>
  <c r="M242" i="2"/>
  <c r="M249" i="2"/>
  <c r="I312" i="2"/>
  <c r="M244" i="2"/>
  <c r="M235" i="2"/>
  <c r="M254" i="2"/>
  <c r="I306" i="2"/>
  <c r="M237" i="2"/>
  <c r="M246" i="2"/>
  <c r="M248" i="2"/>
  <c r="M252" i="2"/>
  <c r="I272" i="2"/>
  <c r="I273" i="2"/>
  <c r="I274" i="2"/>
  <c r="AN52" i="4"/>
  <c r="AO31" i="4"/>
  <c r="AO30" i="4"/>
  <c r="AO29" i="4"/>
  <c r="AJ52" i="4"/>
  <c r="AK31" i="4"/>
  <c r="AK30" i="4"/>
  <c r="AK29" i="4"/>
  <c r="AG31" i="4"/>
  <c r="AG30" i="4"/>
  <c r="AG29" i="4"/>
  <c r="AF52" i="4"/>
  <c r="AC29" i="4"/>
  <c r="AC30" i="4"/>
  <c r="AC31" i="4"/>
  <c r="AB52" i="4"/>
  <c r="AC33" i="4"/>
  <c r="AN53" i="4" l="1"/>
  <c r="AN56" i="4"/>
  <c r="AN47" i="4" s="1"/>
  <c r="AJ56" i="4"/>
  <c r="AJ47" i="4" s="1"/>
  <c r="AJ53" i="4"/>
  <c r="AF56" i="4"/>
  <c r="AF47" i="4" s="1"/>
  <c r="AF53" i="4"/>
  <c r="AB56" i="4"/>
  <c r="AB47" i="4" s="1"/>
  <c r="AB53" i="4"/>
  <c r="AC19" i="4"/>
  <c r="Y23" i="4"/>
  <c r="Y22" i="4"/>
  <c r="AG74" i="4" l="1"/>
  <c r="AG73" i="4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AC82" i="4" l="1"/>
  <c r="Y31" i="4"/>
  <c r="Y19" i="4"/>
  <c r="Y20" i="4"/>
  <c r="M14" i="4"/>
  <c r="M13" i="4"/>
  <c r="M12" i="4"/>
  <c r="M11" i="4"/>
  <c r="Y29" i="4"/>
  <c r="Y30" i="4"/>
  <c r="F58" i="4" l="1"/>
  <c r="F57" i="4"/>
  <c r="F56" i="4"/>
  <c r="F55" i="4"/>
  <c r="F52" i="4"/>
  <c r="AF41" i="4" l="1"/>
  <c r="AB41" i="4"/>
  <c r="AF40" i="4"/>
  <c r="AN40" i="4"/>
  <c r="AB40" i="4"/>
  <c r="AJ41" i="4"/>
  <c r="AJ40" i="4"/>
  <c r="AN41" i="4"/>
  <c r="AN43" i="4"/>
  <c r="AF43" i="4"/>
  <c r="AB43" i="4"/>
  <c r="AJ43" i="4"/>
  <c r="X43" i="4"/>
  <c r="F229" i="2"/>
  <c r="H229" i="2" s="1"/>
  <c r="H222" i="2"/>
  <c r="N218" i="2" s="1"/>
  <c r="H158" i="2"/>
  <c r="N154" i="2" s="1"/>
  <c r="H205" i="2"/>
  <c r="N201" i="2" s="1"/>
  <c r="H141" i="2"/>
  <c r="N137" i="2" s="1"/>
  <c r="H220" i="2"/>
  <c r="N216" i="2" s="1"/>
  <c r="H156" i="2"/>
  <c r="N152" i="2" s="1"/>
  <c r="H203" i="2"/>
  <c r="N199" i="2" s="1"/>
  <c r="H123" i="2"/>
  <c r="N119" i="2" s="1"/>
  <c r="H218" i="2"/>
  <c r="N214" i="2" s="1"/>
  <c r="H122" i="2"/>
  <c r="N118" i="2" s="1"/>
  <c r="H169" i="2"/>
  <c r="N165" i="2" s="1"/>
  <c r="H184" i="2"/>
  <c r="N180" i="2" s="1"/>
  <c r="H167" i="2"/>
  <c r="N163" i="2" s="1"/>
  <c r="H182" i="2"/>
  <c r="N178" i="2" s="1"/>
  <c r="H213" i="2"/>
  <c r="N209" i="2" s="1"/>
  <c r="H228" i="2"/>
  <c r="N224" i="2" s="1"/>
  <c r="H212" i="2"/>
  <c r="N208" i="2" s="1"/>
  <c r="H196" i="2"/>
  <c r="N192" i="2" s="1"/>
  <c r="H180" i="2"/>
  <c r="N176" i="2" s="1"/>
  <c r="H164" i="2"/>
  <c r="H148" i="2"/>
  <c r="N144" i="2" s="1"/>
  <c r="H132" i="2"/>
  <c r="N128" i="2" s="1"/>
  <c r="H116" i="2"/>
  <c r="N112" i="2" s="1"/>
  <c r="H190" i="2"/>
  <c r="N186" i="2" s="1"/>
  <c r="H189" i="2"/>
  <c r="N185" i="2" s="1"/>
  <c r="H125" i="2"/>
  <c r="N121" i="2" s="1"/>
  <c r="H172" i="2"/>
  <c r="N168" i="2" s="1"/>
  <c r="H139" i="2"/>
  <c r="N135" i="2" s="1"/>
  <c r="H138" i="2"/>
  <c r="N134" i="2" s="1"/>
  <c r="H137" i="2"/>
  <c r="N133" i="2" s="1"/>
  <c r="H152" i="2"/>
  <c r="N148" i="2" s="1"/>
  <c r="H119" i="2"/>
  <c r="N115" i="2" s="1"/>
  <c r="H134" i="2"/>
  <c r="N130" i="2" s="1"/>
  <c r="H149" i="2"/>
  <c r="N145" i="2" s="1"/>
  <c r="H227" i="2"/>
  <c r="N223" i="2" s="1"/>
  <c r="H211" i="2"/>
  <c r="N207" i="2" s="1"/>
  <c r="H195" i="2"/>
  <c r="N191" i="2" s="1"/>
  <c r="H179" i="2"/>
  <c r="N175" i="2" s="1"/>
  <c r="H163" i="2"/>
  <c r="N159" i="2" s="1"/>
  <c r="H147" i="2"/>
  <c r="N143" i="2" s="1"/>
  <c r="H131" i="2"/>
  <c r="N127" i="2" s="1"/>
  <c r="H115" i="2"/>
  <c r="N111" i="2" s="1"/>
  <c r="H174" i="2"/>
  <c r="N170" i="2" s="1"/>
  <c r="H157" i="2"/>
  <c r="N153" i="2" s="1"/>
  <c r="H188" i="2"/>
  <c r="N184" i="2" s="1"/>
  <c r="H171" i="2"/>
  <c r="N167" i="2" s="1"/>
  <c r="H170" i="2"/>
  <c r="N166" i="2" s="1"/>
  <c r="H217" i="2"/>
  <c r="N213" i="2" s="1"/>
  <c r="H200" i="2"/>
  <c r="N196" i="2" s="1"/>
  <c r="H135" i="2"/>
  <c r="N131" i="2" s="1"/>
  <c r="H150" i="2"/>
  <c r="N146" i="2" s="1"/>
  <c r="H133" i="2"/>
  <c r="N129" i="2" s="1"/>
  <c r="H206" i="2"/>
  <c r="N202" i="2" s="1"/>
  <c r="H142" i="2"/>
  <c r="N138" i="2" s="1"/>
  <c r="H126" i="2"/>
  <c r="N122" i="2" s="1"/>
  <c r="H173" i="2"/>
  <c r="N169" i="2" s="1"/>
  <c r="H204" i="2"/>
  <c r="N200" i="2" s="1"/>
  <c r="H140" i="2"/>
  <c r="N136" i="2" s="1"/>
  <c r="H187" i="2"/>
  <c r="N183" i="2" s="1"/>
  <c r="H186" i="2"/>
  <c r="N182" i="2" s="1"/>
  <c r="H185" i="2"/>
  <c r="N181" i="2" s="1"/>
  <c r="H216" i="2"/>
  <c r="N212" i="2" s="1"/>
  <c r="H199" i="2"/>
  <c r="N195" i="2" s="1"/>
  <c r="H198" i="2"/>
  <c r="N194" i="2" s="1"/>
  <c r="H181" i="2"/>
  <c r="N177" i="2" s="1"/>
  <c r="H226" i="2"/>
  <c r="N222" i="2" s="1"/>
  <c r="H210" i="2"/>
  <c r="N206" i="2" s="1"/>
  <c r="H194" i="2"/>
  <c r="N190" i="2" s="1"/>
  <c r="H178" i="2"/>
  <c r="N174" i="2" s="1"/>
  <c r="H162" i="2"/>
  <c r="N158" i="2" s="1"/>
  <c r="H146" i="2"/>
  <c r="N142" i="2" s="1"/>
  <c r="H130" i="2"/>
  <c r="N126" i="2" s="1"/>
  <c r="H114" i="2"/>
  <c r="N110" i="2" s="1"/>
  <c r="H225" i="2"/>
  <c r="N221" i="2" s="1"/>
  <c r="H209" i="2"/>
  <c r="N205" i="2" s="1"/>
  <c r="H193" i="2"/>
  <c r="N189" i="2" s="1"/>
  <c r="H177" i="2"/>
  <c r="N173" i="2" s="1"/>
  <c r="H161" i="2"/>
  <c r="N157" i="2" s="1"/>
  <c r="H145" i="2"/>
  <c r="N141" i="2" s="1"/>
  <c r="H129" i="2"/>
  <c r="N125" i="2" s="1"/>
  <c r="H113" i="2"/>
  <c r="H110" i="2"/>
  <c r="H155" i="2"/>
  <c r="N151" i="2" s="1"/>
  <c r="H202" i="2"/>
  <c r="N198" i="2" s="1"/>
  <c r="H121" i="2"/>
  <c r="N117" i="2" s="1"/>
  <c r="H168" i="2"/>
  <c r="N164" i="2" s="1"/>
  <c r="H183" i="2"/>
  <c r="N179" i="2" s="1"/>
  <c r="H214" i="2"/>
  <c r="N210" i="2" s="1"/>
  <c r="H197" i="2"/>
  <c r="N193" i="2" s="1"/>
  <c r="H224" i="2"/>
  <c r="N220" i="2" s="1"/>
  <c r="H208" i="2"/>
  <c r="N204" i="2" s="1"/>
  <c r="H192" i="2"/>
  <c r="N188" i="2" s="1"/>
  <c r="H176" i="2"/>
  <c r="N172" i="2" s="1"/>
  <c r="H160" i="2"/>
  <c r="N156" i="2" s="1"/>
  <c r="H144" i="2"/>
  <c r="N140" i="2" s="1"/>
  <c r="H128" i="2"/>
  <c r="N124" i="2" s="1"/>
  <c r="H112" i="2"/>
  <c r="H124" i="2"/>
  <c r="N120" i="2" s="1"/>
  <c r="H219" i="2"/>
  <c r="N215" i="2" s="1"/>
  <c r="H154" i="2"/>
  <c r="N150" i="2" s="1"/>
  <c r="H153" i="2"/>
  <c r="N149" i="2" s="1"/>
  <c r="H136" i="2"/>
  <c r="N132" i="2" s="1"/>
  <c r="H215" i="2"/>
  <c r="N211" i="2" s="1"/>
  <c r="H118" i="2"/>
  <c r="N114" i="2" s="1"/>
  <c r="H117" i="2"/>
  <c r="N113" i="2" s="1"/>
  <c r="H223" i="2"/>
  <c r="N219" i="2" s="1"/>
  <c r="H207" i="2"/>
  <c r="N203" i="2" s="1"/>
  <c r="H191" i="2"/>
  <c r="N187" i="2" s="1"/>
  <c r="H175" i="2"/>
  <c r="N171" i="2" s="1"/>
  <c r="H159" i="2"/>
  <c r="N155" i="2" s="1"/>
  <c r="H143" i="2"/>
  <c r="N139" i="2" s="1"/>
  <c r="H127" i="2"/>
  <c r="N123" i="2" s="1"/>
  <c r="H111" i="2"/>
  <c r="H221" i="2"/>
  <c r="N217" i="2" s="1"/>
  <c r="H201" i="2"/>
  <c r="N197" i="2" s="1"/>
  <c r="H120" i="2"/>
  <c r="N116" i="2" s="1"/>
  <c r="H151" i="2"/>
  <c r="N147" i="2" s="1"/>
  <c r="H166" i="2"/>
  <c r="N162" i="2" s="1"/>
  <c r="H165" i="2"/>
  <c r="X41" i="4"/>
  <c r="X40" i="4"/>
  <c r="N225" i="2" l="1"/>
  <c r="AA74" i="4"/>
  <c r="N161" i="2"/>
  <c r="N160" i="2"/>
  <c r="AJ23" i="4"/>
  <c r="AJ39" i="4" s="1"/>
  <c r="AJ57" i="4" s="1"/>
  <c r="AN23" i="4"/>
  <c r="AN39" i="4" s="1"/>
  <c r="AN57" i="4" s="1"/>
  <c r="AB23" i="4"/>
  <c r="AB39" i="4" s="1"/>
  <c r="AB57" i="4" s="1"/>
  <c r="AF23" i="4"/>
  <c r="AF39" i="4" s="1"/>
  <c r="AF57" i="4" s="1"/>
  <c r="X23" i="4"/>
  <c r="X39" i="4" s="1"/>
  <c r="K76" i="2" l="1"/>
  <c r="K72" i="2"/>
  <c r="K74" i="2"/>
  <c r="K73" i="2"/>
  <c r="K71" i="2"/>
  <c r="K70" i="2"/>
  <c r="K65" i="2"/>
  <c r="K61" i="2"/>
  <c r="K69" i="2"/>
  <c r="K66" i="2"/>
  <c r="K63" i="2"/>
  <c r="K68" i="2"/>
  <c r="K64" i="2"/>
  <c r="K67" i="2"/>
  <c r="K62" i="2"/>
  <c r="AB59" i="4"/>
  <c r="AB61" i="4" s="1"/>
  <c r="AB58" i="4"/>
  <c r="AF59" i="4"/>
  <c r="AF61" i="4" s="1"/>
  <c r="AF58" i="4"/>
  <c r="AJ59" i="4"/>
  <c r="AJ61" i="4" s="1"/>
  <c r="AJ58" i="4"/>
  <c r="AN59" i="4"/>
  <c r="AN61" i="4" s="1"/>
  <c r="AN58" i="4"/>
  <c r="X52" i="4"/>
  <c r="AG74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1" i="6"/>
  <c r="T40" i="6"/>
  <c r="T39" i="6"/>
  <c r="A35" i="6"/>
  <c r="A36" i="6" s="1"/>
  <c r="A37" i="6" s="1"/>
  <c r="A38" i="6" s="1"/>
  <c r="A39" i="6" s="1"/>
  <c r="A40" i="6" s="1"/>
  <c r="A41" i="6" s="1"/>
  <c r="A42" i="6" s="1"/>
  <c r="A43" i="6" s="1"/>
  <c r="A44" i="6" s="1"/>
  <c r="AD16" i="6"/>
  <c r="T4" i="6"/>
  <c r="K59" i="2" l="1"/>
  <c r="AA75" i="4" s="1"/>
  <c r="AN30" i="4"/>
  <c r="AJ30" i="4"/>
  <c r="AF30" i="4"/>
  <c r="AB30" i="4"/>
  <c r="X53" i="4"/>
  <c r="X56" i="4"/>
  <c r="X47" i="4" s="1"/>
  <c r="X57" i="4"/>
  <c r="AF24" i="4" l="1"/>
  <c r="AF42" i="4" s="1"/>
  <c r="AF45" i="4" s="1"/>
  <c r="AN24" i="4"/>
  <c r="AN42" i="4" s="1"/>
  <c r="AN45" i="4" s="1"/>
  <c r="X24" i="4"/>
  <c r="X42" i="4" s="1"/>
  <c r="AJ24" i="4"/>
  <c r="AJ42" i="4" s="1"/>
  <c r="AJ45" i="4" s="1"/>
  <c r="AB24" i="4"/>
  <c r="AB42" i="4" s="1"/>
  <c r="AB45" i="4" s="1"/>
  <c r="X59" i="4"/>
  <c r="X61" i="4" s="1"/>
  <c r="X58" i="4"/>
  <c r="D61" i="4"/>
  <c r="D54" i="4"/>
  <c r="F54" i="4" s="1"/>
  <c r="D53" i="4"/>
  <c r="F53" i="4" s="1"/>
  <c r="D51" i="4"/>
  <c r="F51" i="4" s="1"/>
  <c r="F76" i="2" s="1"/>
  <c r="G76" i="2" s="1"/>
  <c r="D46" i="4"/>
  <c r="D35" i="4"/>
  <c r="D32" i="4"/>
  <c r="D19" i="4"/>
  <c r="D25" i="4" s="1"/>
  <c r="N36" i="4"/>
  <c r="L36" i="4" s="1"/>
  <c r="M34" i="4"/>
  <c r="O32" i="4"/>
  <c r="M32" i="4"/>
  <c r="N29" i="4"/>
  <c r="N28" i="4"/>
  <c r="O21" i="4"/>
  <c r="D16" i="4"/>
  <c r="D8" i="4"/>
  <c r="D7" i="4"/>
  <c r="F89" i="2" l="1"/>
  <c r="G89" i="2" s="1"/>
  <c r="G84" i="2"/>
  <c r="G75" i="2"/>
  <c r="G72" i="2"/>
  <c r="G73" i="2"/>
  <c r="G65" i="2"/>
  <c r="G67" i="2"/>
  <c r="G64" i="2"/>
  <c r="G63" i="2"/>
  <c r="G66" i="2"/>
  <c r="G85" i="2"/>
  <c r="G86" i="2"/>
  <c r="G61" i="2"/>
  <c r="G74" i="2"/>
  <c r="G71" i="2"/>
  <c r="G70" i="2"/>
  <c r="G69" i="2"/>
  <c r="G68" i="2"/>
  <c r="G62" i="2"/>
  <c r="I213" i="2"/>
  <c r="O209" i="2" s="1"/>
  <c r="I167" i="2"/>
  <c r="O163" i="2" s="1"/>
  <c r="I112" i="2"/>
  <c r="I227" i="2"/>
  <c r="O223" i="2" s="1"/>
  <c r="I150" i="2"/>
  <c r="O146" i="2" s="1"/>
  <c r="I189" i="2"/>
  <c r="O185" i="2" s="1"/>
  <c r="I128" i="2"/>
  <c r="O124" i="2" s="1"/>
  <c r="I211" i="2"/>
  <c r="O207" i="2" s="1"/>
  <c r="I165" i="2"/>
  <c r="I172" i="2"/>
  <c r="O168" i="2" s="1"/>
  <c r="I223" i="2"/>
  <c r="O219" i="2" s="1"/>
  <c r="I182" i="2"/>
  <c r="O178" i="2" s="1"/>
  <c r="I173" i="2"/>
  <c r="O169" i="2" s="1"/>
  <c r="I176" i="2"/>
  <c r="O172" i="2" s="1"/>
  <c r="I160" i="2"/>
  <c r="O156" i="2" s="1"/>
  <c r="G229" i="2"/>
  <c r="I229" i="2" s="1"/>
  <c r="O225" i="2" s="1"/>
  <c r="I195" i="2"/>
  <c r="O191" i="2" s="1"/>
  <c r="I142" i="2"/>
  <c r="O138" i="2" s="1"/>
  <c r="I155" i="2"/>
  <c r="O151" i="2" s="1"/>
  <c r="I134" i="2"/>
  <c r="O130" i="2" s="1"/>
  <c r="I186" i="2"/>
  <c r="O182" i="2" s="1"/>
  <c r="I139" i="2"/>
  <c r="O135" i="2" s="1"/>
  <c r="I174" i="2"/>
  <c r="O170" i="2" s="1"/>
  <c r="I216" i="2"/>
  <c r="O212" i="2" s="1"/>
  <c r="I228" i="2"/>
  <c r="O224" i="2" s="1"/>
  <c r="I179" i="2"/>
  <c r="O175" i="2" s="1"/>
  <c r="I157" i="2"/>
  <c r="O153" i="2" s="1"/>
  <c r="I138" i="2"/>
  <c r="O134" i="2" s="1"/>
  <c r="I120" i="2"/>
  <c r="O116" i="2" s="1"/>
  <c r="I161" i="2"/>
  <c r="O157" i="2" s="1"/>
  <c r="I126" i="2"/>
  <c r="O122" i="2" s="1"/>
  <c r="I111" i="2"/>
  <c r="I197" i="2"/>
  <c r="O193" i="2" s="1"/>
  <c r="I217" i="2"/>
  <c r="O213" i="2" s="1"/>
  <c r="I199" i="2"/>
  <c r="O195" i="2" s="1"/>
  <c r="I144" i="2"/>
  <c r="O140" i="2" s="1"/>
  <c r="I212" i="2"/>
  <c r="O208" i="2" s="1"/>
  <c r="I163" i="2"/>
  <c r="O159" i="2" s="1"/>
  <c r="I140" i="2"/>
  <c r="O136" i="2" s="1"/>
  <c r="I185" i="2"/>
  <c r="O181" i="2" s="1"/>
  <c r="I122" i="2"/>
  <c r="O118" i="2" s="1"/>
  <c r="I204" i="2"/>
  <c r="O200" i="2" s="1"/>
  <c r="I187" i="2"/>
  <c r="O183" i="2" s="1"/>
  <c r="I201" i="2"/>
  <c r="O197" i="2" s="1"/>
  <c r="I127" i="2"/>
  <c r="O123" i="2" s="1"/>
  <c r="I124" i="2"/>
  <c r="O120" i="2" s="1"/>
  <c r="I218" i="2"/>
  <c r="O214" i="2" s="1"/>
  <c r="I196" i="2"/>
  <c r="O192" i="2" s="1"/>
  <c r="I147" i="2"/>
  <c r="O143" i="2" s="1"/>
  <c r="I203" i="2"/>
  <c r="O199" i="2" s="1"/>
  <c r="I168" i="2"/>
  <c r="O164" i="2" s="1"/>
  <c r="I206" i="2"/>
  <c r="O202" i="2" s="1"/>
  <c r="I110" i="2"/>
  <c r="I152" i="2"/>
  <c r="O148" i="2" s="1"/>
  <c r="I177" i="2"/>
  <c r="O173" i="2" s="1"/>
  <c r="I119" i="2"/>
  <c r="O115" i="2" s="1"/>
  <c r="I135" i="2"/>
  <c r="O131" i="2" s="1"/>
  <c r="I118" i="2"/>
  <c r="O114" i="2" s="1"/>
  <c r="I207" i="2"/>
  <c r="O203" i="2" s="1"/>
  <c r="I215" i="2"/>
  <c r="O211" i="2" s="1"/>
  <c r="I190" i="2"/>
  <c r="O186" i="2" s="1"/>
  <c r="I224" i="2"/>
  <c r="O220" i="2" s="1"/>
  <c r="I220" i="2"/>
  <c r="O216" i="2" s="1"/>
  <c r="I153" i="2"/>
  <c r="O149" i="2" s="1"/>
  <c r="I180" i="2"/>
  <c r="O176" i="2" s="1"/>
  <c r="I131" i="2"/>
  <c r="O127" i="2" s="1"/>
  <c r="I170" i="2"/>
  <c r="O166" i="2" s="1"/>
  <c r="I151" i="2"/>
  <c r="O147" i="2" s="1"/>
  <c r="I208" i="2"/>
  <c r="O204" i="2" s="1"/>
  <c r="I164" i="2"/>
  <c r="I115" i="2"/>
  <c r="O111" i="2" s="1"/>
  <c r="I169" i="2"/>
  <c r="O165" i="2" s="1"/>
  <c r="I166" i="2"/>
  <c r="O162" i="2" s="1"/>
  <c r="I113" i="2"/>
  <c r="I158" i="2"/>
  <c r="O154" i="2" s="1"/>
  <c r="I146" i="2"/>
  <c r="O142" i="2" s="1"/>
  <c r="I148" i="2"/>
  <c r="O144" i="2" s="1"/>
  <c r="I222" i="2"/>
  <c r="I136" i="2"/>
  <c r="O132" i="2" s="1"/>
  <c r="I149" i="2"/>
  <c r="O145" i="2" s="1"/>
  <c r="I191" i="2"/>
  <c r="O187" i="2" s="1"/>
  <c r="I181" i="2"/>
  <c r="O177" i="2" s="1"/>
  <c r="I125" i="2"/>
  <c r="O121" i="2" s="1"/>
  <c r="I219" i="2"/>
  <c r="O215" i="2" s="1"/>
  <c r="I192" i="2"/>
  <c r="O188" i="2" s="1"/>
  <c r="I132" i="2"/>
  <c r="O128" i="2" s="1"/>
  <c r="I156" i="2"/>
  <c r="O152" i="2" s="1"/>
  <c r="I225" i="2"/>
  <c r="O221" i="2" s="1"/>
  <c r="I154" i="2"/>
  <c r="O150" i="2" s="1"/>
  <c r="I205" i="2"/>
  <c r="O201" i="2" s="1"/>
  <c r="I117" i="2"/>
  <c r="O113" i="2" s="1"/>
  <c r="I133" i="2"/>
  <c r="O129" i="2" s="1"/>
  <c r="I226" i="2"/>
  <c r="O222" i="2" s="1"/>
  <c r="I116" i="2"/>
  <c r="O112" i="2" s="1"/>
  <c r="I123" i="2"/>
  <c r="O119" i="2" s="1"/>
  <c r="I209" i="2"/>
  <c r="O205" i="2" s="1"/>
  <c r="I121" i="2"/>
  <c r="O117" i="2" s="1"/>
  <c r="I193" i="2"/>
  <c r="O189" i="2" s="1"/>
  <c r="I145" i="2"/>
  <c r="O141" i="2" s="1"/>
  <c r="I129" i="2"/>
  <c r="O125" i="2" s="1"/>
  <c r="I210" i="2"/>
  <c r="O206" i="2" s="1"/>
  <c r="I130" i="2"/>
  <c r="O126" i="2" s="1"/>
  <c r="I141" i="2"/>
  <c r="O137" i="2" s="1"/>
  <c r="I137" i="2"/>
  <c r="O133" i="2" s="1"/>
  <c r="I202" i="2"/>
  <c r="O198" i="2" s="1"/>
  <c r="I171" i="2"/>
  <c r="O167" i="2" s="1"/>
  <c r="I214" i="2"/>
  <c r="O210" i="2" s="1"/>
  <c r="I200" i="2"/>
  <c r="O196" i="2" s="1"/>
  <c r="I194" i="2"/>
  <c r="O190" i="2" s="1"/>
  <c r="I221" i="2"/>
  <c r="O217" i="2" s="1"/>
  <c r="I175" i="2"/>
  <c r="O171" i="2" s="1"/>
  <c r="I183" i="2"/>
  <c r="O179" i="2" s="1"/>
  <c r="I178" i="2"/>
  <c r="O174" i="2" s="1"/>
  <c r="I188" i="2"/>
  <c r="O184" i="2" s="1"/>
  <c r="I159" i="2"/>
  <c r="O155" i="2" s="1"/>
  <c r="I198" i="2"/>
  <c r="O194" i="2" s="1"/>
  <c r="I162" i="2"/>
  <c r="O158" i="2" s="1"/>
  <c r="I143" i="2"/>
  <c r="O139" i="2" s="1"/>
  <c r="I114" i="2"/>
  <c r="O110" i="2" s="1"/>
  <c r="I184" i="2"/>
  <c r="O180" i="2" s="1"/>
  <c r="X30" i="4"/>
  <c r="X45" i="4"/>
  <c r="M33" i="4"/>
  <c r="O12" i="4"/>
  <c r="D9" i="4"/>
  <c r="M35" i="4"/>
  <c r="M37" i="4"/>
  <c r="L38" i="4"/>
  <c r="M38" i="4" s="1"/>
  <c r="D17" i="4"/>
  <c r="D26" i="4" s="1"/>
  <c r="D40" i="4"/>
  <c r="D20" i="4"/>
  <c r="O18" i="4"/>
  <c r="O160" i="2" l="1"/>
  <c r="O161" i="2"/>
  <c r="O218" i="2"/>
  <c r="AB22" i="4"/>
  <c r="AB38" i="4" s="1"/>
  <c r="AB46" i="4" s="1"/>
  <c r="AB48" i="4" s="1"/>
  <c r="AA73" i="4"/>
  <c r="X22" i="4"/>
  <c r="X38" i="4" s="1"/>
  <c r="AN22" i="4"/>
  <c r="AN38" i="4" s="1"/>
  <c r="AN46" i="4" s="1"/>
  <c r="AN48" i="4" s="1"/>
  <c r="AF22" i="4"/>
  <c r="AF38" i="4" s="1"/>
  <c r="AF46" i="4" s="1"/>
  <c r="AF48" i="4" s="1"/>
  <c r="AJ22" i="4"/>
  <c r="AJ38" i="4" s="1"/>
  <c r="AJ46" i="4" s="1"/>
  <c r="AJ48" i="4" s="1"/>
  <c r="D39" i="4"/>
  <c r="D41" i="4" s="1"/>
  <c r="D42" i="4" s="1"/>
  <c r="D21" i="4"/>
  <c r="D22" i="4" s="1"/>
  <c r="D23" i="4" s="1"/>
  <c r="D24" i="4" s="1"/>
  <c r="L19" i="4"/>
  <c r="M19" i="4" s="1"/>
  <c r="AJ49" i="4" l="1"/>
  <c r="AJ50" i="4" s="1"/>
  <c r="AJ31" i="4" s="1"/>
  <c r="AJ29" i="4"/>
  <c r="AN29" i="4"/>
  <c r="AN49" i="4"/>
  <c r="AN50" i="4" s="1"/>
  <c r="X46" i="4"/>
  <c r="X48" i="4" s="1"/>
  <c r="O11" i="4"/>
  <c r="D10" i="4"/>
  <c r="D12" i="4" s="1"/>
  <c r="D29" i="4" s="1"/>
  <c r="D30" i="4" s="1"/>
  <c r="D33" i="4" s="1"/>
  <c r="D36" i="4" s="1"/>
  <c r="D37" i="4" s="1"/>
  <c r="AB49" i="4"/>
  <c r="AB50" i="4" s="1"/>
  <c r="AB31" i="4" s="1"/>
  <c r="AB29" i="4"/>
  <c r="AF29" i="4"/>
  <c r="AF49" i="4"/>
  <c r="AF50" i="4" s="1"/>
  <c r="AF31" i="4" s="1"/>
  <c r="AD37" i="3"/>
  <c r="X37" i="3"/>
  <c r="X38" i="3" s="1"/>
  <c r="X39" i="3" s="1"/>
  <c r="R37" i="3"/>
  <c r="R38" i="3" s="1"/>
  <c r="R39" i="3" s="1"/>
  <c r="L37" i="3"/>
  <c r="L38" i="3" s="1"/>
  <c r="L39" i="3" s="1"/>
  <c r="E37" i="3"/>
  <c r="E38" i="3" s="1"/>
  <c r="E39" i="3" s="1"/>
  <c r="H32" i="3" s="1"/>
  <c r="D13" i="4" l="1"/>
  <c r="X29" i="4"/>
  <c r="AA82" i="4" s="1"/>
  <c r="X49" i="4"/>
  <c r="X50" i="4" s="1"/>
  <c r="X31" i="4" s="1"/>
  <c r="AN31" i="4"/>
  <c r="AN51" i="4"/>
  <c r="AF38" i="3"/>
  <c r="N32" i="3"/>
  <c r="T32" i="3" s="1"/>
  <c r="Z32" i="3" s="1"/>
  <c r="AD38" i="3"/>
  <c r="AD39" i="3" s="1"/>
  <c r="AJ51" i="4" l="1"/>
  <c r="AN33" i="4"/>
  <c r="AF32" i="3"/>
  <c r="J229" i="2"/>
  <c r="J110" i="2"/>
  <c r="K53" i="2"/>
  <c r="L53" i="2" s="1"/>
  <c r="K52" i="2"/>
  <c r="L52" i="2" s="1"/>
  <c r="K51" i="2"/>
  <c r="L51" i="2" s="1"/>
  <c r="K50" i="2"/>
  <c r="L50" i="2" s="1"/>
  <c r="K49" i="2"/>
  <c r="L49" i="2" s="1"/>
  <c r="K48" i="2"/>
  <c r="L48" i="2" s="1"/>
  <c r="K47" i="2"/>
  <c r="L47" i="2" s="1"/>
  <c r="K46" i="2"/>
  <c r="L46" i="2" s="1"/>
  <c r="K45" i="2"/>
  <c r="L45" i="2" s="1"/>
  <c r="K44" i="2"/>
  <c r="L44" i="2" s="1"/>
  <c r="K43" i="2"/>
  <c r="L43" i="2" s="1"/>
  <c r="K42" i="2"/>
  <c r="L42" i="2" s="1"/>
  <c r="K41" i="2"/>
  <c r="L41" i="2" s="1"/>
  <c r="K40" i="2"/>
  <c r="L40" i="2" s="1"/>
  <c r="K39" i="2"/>
  <c r="L39" i="2" s="1"/>
  <c r="K38" i="2"/>
  <c r="L38" i="2" s="1"/>
  <c r="K37" i="2"/>
  <c r="L37" i="2" s="1"/>
  <c r="K36" i="2"/>
  <c r="L36" i="2" s="1"/>
  <c r="K35" i="2"/>
  <c r="L35" i="2" s="1"/>
  <c r="K34" i="2"/>
  <c r="L34" i="2" s="1"/>
  <c r="D45" i="4" s="1"/>
  <c r="K33" i="2"/>
  <c r="L33" i="2" s="1"/>
  <c r="K32" i="2"/>
  <c r="L32" i="2" s="1"/>
  <c r="K31" i="2"/>
  <c r="L31" i="2" s="1"/>
  <c r="K30" i="2"/>
  <c r="L30" i="2" s="1"/>
  <c r="K29" i="2"/>
  <c r="L29" i="2" s="1"/>
  <c r="K28" i="2"/>
  <c r="L28" i="2" s="1"/>
  <c r="K27" i="2"/>
  <c r="L27" i="2" s="1"/>
  <c r="K26" i="2"/>
  <c r="L26" i="2" s="1"/>
  <c r="E11" i="2"/>
  <c r="S5" i="2"/>
  <c r="R5" i="2"/>
  <c r="Q5" i="2"/>
  <c r="P5" i="2"/>
  <c r="O5" i="2"/>
  <c r="K4" i="2"/>
  <c r="AJ33" i="4" l="1"/>
  <c r="AF51" i="4"/>
  <c r="AF33" i="4" l="1"/>
  <c r="AB51" i="4"/>
  <c r="AA83" i="4" l="1"/>
  <c r="X51" i="4"/>
  <c r="AA81" i="4" s="1"/>
  <c r="AB33" i="4"/>
  <c r="K239" i="2"/>
  <c r="K246" i="2" s="1"/>
  <c r="AD81" i="4"/>
  <c r="K247" i="2"/>
  <c r="K249" i="2"/>
  <c r="K242" i="2" l="1"/>
  <c r="K254" i="2"/>
  <c r="K235" i="2"/>
  <c r="G292" i="2"/>
  <c r="G294" i="2"/>
  <c r="K237" i="2"/>
  <c r="G291" i="2"/>
  <c r="K240" i="2"/>
  <c r="G279" i="2"/>
  <c r="G287" i="2"/>
  <c r="G281" i="2"/>
  <c r="G299" i="2"/>
  <c r="G301" i="2"/>
  <c r="G271" i="2"/>
  <c r="G289" i="2"/>
  <c r="K243" i="2"/>
  <c r="K241" i="2"/>
  <c r="K236" i="2"/>
  <c r="K238" i="2" s="1"/>
  <c r="K245" i="2"/>
  <c r="G290" i="2"/>
  <c r="G270" i="2"/>
  <c r="G293" i="2"/>
  <c r="K234" i="2"/>
  <c r="G288" i="2"/>
  <c r="K244" i="2"/>
  <c r="AD83" i="4"/>
  <c r="G306" i="2"/>
  <c r="G307" i="2"/>
  <c r="G308" i="2"/>
  <c r="G309" i="2" s="1"/>
  <c r="G310" i="2" s="1"/>
  <c r="G311" i="2" s="1"/>
  <c r="K248" i="2"/>
  <c r="K250" i="2" s="1"/>
  <c r="K251" i="2" s="1"/>
  <c r="G276" i="2"/>
  <c r="J306" i="2" l="1"/>
  <c r="AE87" i="4" s="1"/>
  <c r="G312" i="2"/>
  <c r="J310" i="2" s="1"/>
  <c r="AE91" i="4" s="1"/>
  <c r="J307" i="2"/>
  <c r="AE88" i="4" s="1"/>
  <c r="G272" i="2"/>
  <c r="G273" i="2" s="1"/>
  <c r="G274" i="2" s="1"/>
  <c r="J312" i="2"/>
  <c r="AE93" i="4" s="1"/>
  <c r="J308" i="2"/>
  <c r="AE89" i="4" s="1"/>
  <c r="K252" i="2"/>
  <c r="K253" i="2" s="1"/>
  <c r="G277" i="2"/>
  <c r="J311" i="2" l="1"/>
  <c r="AE92" i="4" s="1"/>
  <c r="G275" i="2"/>
  <c r="J309" i="2"/>
  <c r="AE90" i="4" s="1"/>
  <c r="K255" i="2"/>
  <c r="K256" i="2" s="1"/>
  <c r="K257" i="2" s="1"/>
  <c r="N245" i="2" s="1"/>
  <c r="X98" i="4" s="1"/>
  <c r="G278" i="2"/>
  <c r="K306" i="2" l="1"/>
  <c r="N238" i="2"/>
  <c r="X91" i="4" s="1"/>
  <c r="N237" i="2"/>
  <c r="X90" i="4" s="1"/>
  <c r="N235" i="2"/>
  <c r="X88" i="4" s="1"/>
  <c r="N239" i="2"/>
  <c r="X92" i="4" s="1"/>
  <c r="N236" i="2"/>
  <c r="X89" i="4" s="1"/>
  <c r="N234" i="2"/>
  <c r="X87" i="4" s="1"/>
  <c r="N241" i="2"/>
  <c r="X94" i="4" s="1"/>
  <c r="N240" i="2"/>
  <c r="X93" i="4" s="1"/>
  <c r="N242" i="2"/>
  <c r="X95" i="4" s="1"/>
  <c r="N251" i="2"/>
  <c r="X104" i="4" s="1"/>
  <c r="N252" i="2"/>
  <c r="X105" i="4" s="1"/>
  <c r="N247" i="2"/>
  <c r="X100" i="4" s="1"/>
  <c r="N249" i="2"/>
  <c r="X102" i="4" s="1"/>
  <c r="N250" i="2"/>
  <c r="X103" i="4" s="1"/>
  <c r="N256" i="2"/>
  <c r="X109" i="4" s="1"/>
  <c r="N257" i="2"/>
  <c r="W110" i="4" s="1"/>
  <c r="N246" i="2"/>
  <c r="X99" i="4" s="1"/>
  <c r="N248" i="2"/>
  <c r="X101" i="4" s="1"/>
  <c r="N254" i="2"/>
  <c r="X107" i="4" s="1"/>
  <c r="N255" i="2"/>
  <c r="X108" i="4" s="1"/>
  <c r="N243" i="2"/>
  <c r="X96" i="4" s="1"/>
  <c r="N244" i="2"/>
  <c r="X97" i="4" s="1"/>
  <c r="N253" i="2"/>
  <c r="X106" i="4" s="1"/>
  <c r="G280" i="2"/>
  <c r="G282" i="2" s="1"/>
  <c r="G283" i="2" s="1"/>
  <c r="G284" i="2" s="1"/>
  <c r="G285" i="2" s="1"/>
  <c r="G286" i="2" s="1"/>
  <c r="O234" i="2" l="1"/>
  <c r="G295" i="2"/>
  <c r="G296" i="2" l="1"/>
  <c r="G297" i="2" s="1"/>
  <c r="G298" i="2" l="1"/>
  <c r="G300" i="2" s="1"/>
  <c r="J270" i="2" s="1"/>
  <c r="AB87" i="4" s="1"/>
  <c r="J280" i="2" l="1"/>
  <c r="AB97" i="4" s="1"/>
  <c r="J281" i="2"/>
  <c r="AB98" i="4" s="1"/>
  <c r="J271" i="2"/>
  <c r="AB88" i="4" s="1"/>
  <c r="J282" i="2"/>
  <c r="AB99" i="4" s="1"/>
  <c r="J278" i="2"/>
  <c r="AB95" i="4" s="1"/>
  <c r="J279" i="2"/>
  <c r="AB96" i="4" s="1"/>
  <c r="J277" i="2"/>
  <c r="AB94" i="4" s="1"/>
  <c r="J276" i="2"/>
  <c r="AB93" i="4" s="1"/>
  <c r="J274" i="2"/>
  <c r="AB91" i="4" s="1"/>
  <c r="J273" i="2"/>
  <c r="AB90" i="4" s="1"/>
  <c r="J283" i="2"/>
  <c r="AB100" i="4" s="1"/>
  <c r="J275" i="2"/>
  <c r="AB92" i="4" s="1"/>
  <c r="J272" i="2"/>
  <c r="AB89" i="4" s="1"/>
  <c r="J284" i="2"/>
  <c r="AB101" i="4" s="1"/>
  <c r="J301" i="2"/>
  <c r="J286" i="2"/>
  <c r="AB103" i="4" s="1"/>
  <c r="J296" i="2"/>
  <c r="J292" i="2"/>
  <c r="AB109" i="4" s="1"/>
  <c r="J293" i="2"/>
  <c r="X110" i="4" s="1"/>
  <c r="J299" i="2"/>
  <c r="J288" i="2"/>
  <c r="AB105" i="4" s="1"/>
  <c r="J297" i="2"/>
  <c r="J294" i="2"/>
  <c r="J287" i="2"/>
  <c r="AB104" i="4" s="1"/>
  <c r="J300" i="2"/>
  <c r="J298" i="2"/>
  <c r="J295" i="2"/>
  <c r="J289" i="2"/>
  <c r="AB106" i="4" s="1"/>
  <c r="J290" i="2"/>
  <c r="AB107" i="4" s="1"/>
  <c r="J291" i="2"/>
  <c r="AB108" i="4" s="1"/>
  <c r="J285" i="2"/>
  <c r="AB102" i="4" s="1"/>
  <c r="I303" i="2" l="1"/>
  <c r="K270" i="2"/>
  <c r="K16" i="4"/>
  <c r="K29" i="4"/>
  <c r="K22" i="4"/>
  <c r="W82" i="4"/>
  <c r="K19" i="4"/>
  <c r="K28" i="4"/>
  <c r="K11" i="4"/>
  <c r="K12" i="4"/>
  <c r="K15" i="4"/>
  <c r="K14" i="4"/>
  <c r="W83" i="4"/>
  <c r="K13" i="4"/>
  <c r="W81" i="4"/>
  <c r="AA18" i="4"/>
  <c r="AI18" i="4"/>
  <c r="AM18" i="4"/>
  <c r="W26" i="4"/>
  <c r="AA26" i="4" s="1"/>
  <c r="AE26" i="4" s="1"/>
  <c r="AI26" i="4" s="1"/>
  <c r="AM26" i="4" s="1"/>
  <c r="W31" i="4"/>
  <c r="AA31" i="4" s="1"/>
  <c r="AE31" i="4" s="1"/>
  <c r="AI31" i="4" s="1"/>
  <c r="AM31" i="4" s="1"/>
  <c r="W22" i="4"/>
  <c r="AA22" i="4" s="1"/>
  <c r="AE22" i="4" s="1"/>
  <c r="AI22" i="4" s="1"/>
  <c r="AM22" i="4" s="1"/>
  <c r="W29" i="4"/>
  <c r="AA29" i="4" s="1"/>
  <c r="AE29" i="4" s="1"/>
  <c r="AI29" i="4" s="1"/>
  <c r="AM29" i="4" s="1"/>
  <c r="W20" i="4"/>
  <c r="AA20" i="4" s="1"/>
  <c r="AE20" i="4" s="1"/>
  <c r="AI20" i="4" s="1"/>
  <c r="AM20" i="4" s="1"/>
  <c r="AA19" i="4"/>
  <c r="AE19" i="4" s="1"/>
  <c r="AI19" i="4" s="1"/>
  <c r="AM19" i="4" s="1"/>
  <c r="W25" i="4"/>
  <c r="AA25" i="4" s="1"/>
  <c r="AE25" i="4" s="1"/>
  <c r="AI25" i="4" s="1"/>
  <c r="AM25" i="4" s="1"/>
  <c r="W24" i="4"/>
  <c r="AA24" i="4" s="1"/>
  <c r="AE24" i="4" s="1"/>
  <c r="AI24" i="4" s="1"/>
  <c r="AM24" i="4" s="1"/>
  <c r="AE18" i="4"/>
  <c r="W30" i="4"/>
  <c r="AA30" i="4" s="1"/>
  <c r="AE30" i="4" s="1"/>
  <c r="AI30" i="4" s="1"/>
  <c r="AM30" i="4" s="1"/>
  <c r="W27" i="4"/>
  <c r="AA27" i="4" s="1"/>
  <c r="AE27" i="4" s="1"/>
  <c r="AI27" i="4" s="1"/>
  <c r="AM27" i="4" s="1"/>
  <c r="W23" i="4"/>
  <c r="AA23" i="4" s="1"/>
  <c r="AE23" i="4" s="1"/>
  <c r="AI23" i="4" s="1"/>
  <c r="AM23" i="4" s="1"/>
  <c r="W21" i="4"/>
  <c r="AA21" i="4" s="1"/>
  <c r="AE21" i="4" s="1"/>
  <c r="AI21" i="4" s="1"/>
  <c r="AM2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Dylan Chua</author>
  </authors>
  <commentList>
    <comment ref="A25" authorId="0" shapeId="0" xr:uid="{3971B043-B23F-4526-8566-74F8E841090B}">
      <text>
        <r>
          <rPr>
            <b/>
            <sz val="9"/>
            <color indexed="81"/>
            <rFont val="Tahoma"/>
            <family val="2"/>
          </rPr>
          <t>Dylan Chua:</t>
        </r>
        <r>
          <rPr>
            <sz val="9"/>
            <color indexed="81"/>
            <rFont val="Tahoma"/>
            <family val="2"/>
          </rPr>
          <t xml:space="preserve">
1 = OFFER
0 = NO OFFER</t>
        </r>
      </text>
    </comment>
    <comment ref="A60" authorId="0" shapeId="0" xr:uid="{5D277897-DE5F-47AD-B21A-F5427D0E110C}">
      <text>
        <r>
          <rPr>
            <b/>
            <sz val="9"/>
            <color indexed="81"/>
            <rFont val="Tahoma"/>
            <family val="2"/>
          </rPr>
          <t>Dylan Chua:</t>
        </r>
        <r>
          <rPr>
            <sz val="9"/>
            <color indexed="81"/>
            <rFont val="Tahoma"/>
            <family val="2"/>
          </rPr>
          <t xml:space="preserve">
1 = OFFER
0 = NO OFFER</t>
        </r>
      </text>
    </comment>
    <comment ref="A82" authorId="0" shapeId="0" xr:uid="{345C6E22-77D5-4CB8-AE8E-A0BFE5F60C2C}">
      <text>
        <r>
          <rPr>
            <b/>
            <sz val="9"/>
            <color indexed="81"/>
            <rFont val="Tahoma"/>
            <family val="2"/>
          </rPr>
          <t>Dylan Chua:</t>
        </r>
        <r>
          <rPr>
            <sz val="9"/>
            <color indexed="81"/>
            <rFont val="Tahoma"/>
            <family val="2"/>
          </rPr>
          <t xml:space="preserve">
1 = OFFER
0 = NO OFFER</t>
        </r>
      </text>
    </comment>
    <comment ref="A109" authorId="0" shapeId="0" xr:uid="{BB656E02-6255-4474-8130-B5B9FDA82121}">
      <text>
        <r>
          <rPr>
            <b/>
            <sz val="9"/>
            <color indexed="81"/>
            <rFont val="Tahoma"/>
            <family val="2"/>
          </rPr>
          <t>Dylan Chua:</t>
        </r>
        <r>
          <rPr>
            <sz val="9"/>
            <color indexed="81"/>
            <rFont val="Tahoma"/>
            <family val="2"/>
          </rPr>
          <t xml:space="preserve">
1 = OFFER
0 = NO OFFER</t>
        </r>
      </text>
    </comment>
  </commentList>
</comments>
</file>

<file path=xl/sharedStrings.xml><?xml version="1.0" encoding="utf-8"?>
<sst xmlns="http://schemas.openxmlformats.org/spreadsheetml/2006/main" count="1798" uniqueCount="945">
  <si>
    <t>Source</t>
  </si>
  <si>
    <t>C:\RA Vault\Systems Library\Rollers\04_Medium\RB09 Chain Control\System Leaflets\RB09_QRG Chart_Rev_22012016.xlsx</t>
  </si>
  <si>
    <t>WIDTH</t>
  </si>
  <si>
    <t>Chart Legend</t>
  </si>
  <si>
    <t>Blank Statement</t>
  </si>
  <si>
    <t>Turning System Capacity Charts on/off</t>
  </si>
  <si>
    <t>Control Types</t>
  </si>
  <si>
    <t>Pre Wrap Allowance</t>
  </si>
  <si>
    <t>Start</t>
  </si>
  <si>
    <t>Input Field</t>
  </si>
  <si>
    <t>Select from drop down menu</t>
  </si>
  <si>
    <t>On</t>
  </si>
  <si>
    <t>Chart 1</t>
  </si>
  <si>
    <t>Chart 2</t>
  </si>
  <si>
    <t>Chart 3</t>
  </si>
  <si>
    <t>Chart 4</t>
  </si>
  <si>
    <t>Chart 5</t>
  </si>
  <si>
    <t>Winder</t>
  </si>
  <si>
    <t>Yes</t>
  </si>
  <si>
    <t>Increment</t>
  </si>
  <si>
    <t>RED TEXT</t>
  </si>
  <si>
    <t>Must be manually typed in</t>
  </si>
  <si>
    <t>Off</t>
  </si>
  <si>
    <t>Gear</t>
  </si>
  <si>
    <t>No</t>
  </si>
  <si>
    <t>DROP</t>
  </si>
  <si>
    <t>Motor</t>
  </si>
  <si>
    <t xml:space="preserve">Allowable deflection per meter of span (delta) </t>
  </si>
  <si>
    <t>mm</t>
  </si>
  <si>
    <t>Possible range = 0.8 &lt; delta &lt; 1.2</t>
  </si>
  <si>
    <t>Length Increment Ratio (Span/Deflection)</t>
  </si>
  <si>
    <t>Note: increase delta to increase tube span
Agreed delta = 1.05 mm (for S&amp;M docs)</t>
  </si>
  <si>
    <t>E (Aluminium)</t>
  </si>
  <si>
    <t>Pa</t>
  </si>
  <si>
    <t>E (Steel)</t>
  </si>
  <si>
    <t>ACMEDA TUBES</t>
  </si>
  <si>
    <t>System</t>
  </si>
  <si>
    <t>List Names</t>
  </si>
  <si>
    <t>Tube Code</t>
  </si>
  <si>
    <t>Description</t>
  </si>
  <si>
    <t>OD (mm)</t>
  </si>
  <si>
    <t>Mass (kg/m)</t>
  </si>
  <si>
    <t>Imin (mm4)</t>
  </si>
  <si>
    <t>Imin (m4)</t>
  </si>
  <si>
    <t>EI (Nm2)</t>
  </si>
  <si>
    <t>Acmeda</t>
  </si>
  <si>
    <t>S35.</t>
  </si>
  <si>
    <t>RB93-0333</t>
  </si>
  <si>
    <t>RB93-0334</t>
  </si>
  <si>
    <t>Al. Tube 34 HD No Spline</t>
  </si>
  <si>
    <t>RB93-0335</t>
  </si>
  <si>
    <t>S40.</t>
  </si>
  <si>
    <t>RB91-0237</t>
  </si>
  <si>
    <t>RB91-0238</t>
  </si>
  <si>
    <t>Al. Tube 39 Keyway</t>
  </si>
  <si>
    <t>RB91-0240</t>
  </si>
  <si>
    <t>RB93-0440</t>
  </si>
  <si>
    <t>S45.</t>
  </si>
  <si>
    <t>RB93-0443</t>
  </si>
  <si>
    <t>RB93-0444</t>
  </si>
  <si>
    <t>RB93-0449</t>
  </si>
  <si>
    <t>S60.</t>
  </si>
  <si>
    <t>RB91-0260</t>
  </si>
  <si>
    <t>RB93-0261</t>
  </si>
  <si>
    <t>Al. Tube 60 Light</t>
  </si>
  <si>
    <t>RE01-0363</t>
  </si>
  <si>
    <t>AL. Tube 63mm</t>
  </si>
  <si>
    <t>RE01-0364</t>
  </si>
  <si>
    <t>Steel Tube 63mm</t>
  </si>
  <si>
    <t>RB91-0280</t>
  </si>
  <si>
    <t>RB93-0282</t>
  </si>
  <si>
    <t>Al. Tube 80 Light</t>
  </si>
  <si>
    <t>RE01-0378</t>
  </si>
  <si>
    <t>Al. Tube 78mm</t>
  </si>
  <si>
    <t>AW92-0901</t>
  </si>
  <si>
    <t>Steel Tube 78mm</t>
  </si>
  <si>
    <t>S100.</t>
  </si>
  <si>
    <t>RB93-0110</t>
  </si>
  <si>
    <t>RB93-0130</t>
  </si>
  <si>
    <t>RB93-0160</t>
  </si>
  <si>
    <t>RollEase</t>
  </si>
  <si>
    <t>RTEA1XXX</t>
  </si>
  <si>
    <t>RTEA2XXX</t>
  </si>
  <si>
    <t>RTEA3XXX</t>
  </si>
  <si>
    <t>RTEA4XXX</t>
  </si>
  <si>
    <t>RTEA5XXX</t>
  </si>
  <si>
    <t>RTEA6XXX</t>
  </si>
  <si>
    <t>RTEA7XXX</t>
  </si>
  <si>
    <t>Weight Bar</t>
  </si>
  <si>
    <t>Weight Bar Code</t>
  </si>
  <si>
    <t>Sys35.</t>
  </si>
  <si>
    <t>Sys40.</t>
  </si>
  <si>
    <t>Sys45.</t>
  </si>
  <si>
    <t>Sys60.</t>
  </si>
  <si>
    <t>Sys100.</t>
  </si>
  <si>
    <t>RollEase_Tube</t>
  </si>
  <si>
    <t>RB91-1215</t>
  </si>
  <si>
    <t>Mini Bottom Rail</t>
  </si>
  <si>
    <t>RB91-1205</t>
  </si>
  <si>
    <t>Flat Bottom Rail</t>
  </si>
  <si>
    <t>35/40</t>
  </si>
  <si>
    <t>RB91-1203</t>
  </si>
  <si>
    <t>Round Bottom Rail</t>
  </si>
  <si>
    <t>35/40/45</t>
  </si>
  <si>
    <t>RB91-1226</t>
  </si>
  <si>
    <t>Oval Bottom Rail</t>
  </si>
  <si>
    <t>RB91-1231</t>
  </si>
  <si>
    <t>D30 Medium Bottom Rail</t>
  </si>
  <si>
    <t>SB06-0201</t>
  </si>
  <si>
    <t>F4115 Flat HD Bottom Rail</t>
  </si>
  <si>
    <t>45/60</t>
  </si>
  <si>
    <t>SB06-1301</t>
  </si>
  <si>
    <t>FZ47 Z-Lock Bottom Rail</t>
  </si>
  <si>
    <t>SB06-1402</t>
  </si>
  <si>
    <t>F52 Std External Weight Bar</t>
  </si>
  <si>
    <t>SB06-1403</t>
  </si>
  <si>
    <t>F52 HD External Weight Bar</t>
  </si>
  <si>
    <t>SB06-1303</t>
  </si>
  <si>
    <t>HD HEM Bar</t>
  </si>
  <si>
    <t>RE15-0101</t>
  </si>
  <si>
    <t>F56 HD External Weight Bar</t>
  </si>
  <si>
    <t>SB06-1304</t>
  </si>
  <si>
    <t>FD42 Extreme Weight Bar</t>
  </si>
  <si>
    <t>HB12A</t>
  </si>
  <si>
    <t>External Hem Bar</t>
  </si>
  <si>
    <t>RCBIHB</t>
  </si>
  <si>
    <t>Internal Hem Bar</t>
  </si>
  <si>
    <t>Ballast Code</t>
  </si>
  <si>
    <t>VB05-0301</t>
  </si>
  <si>
    <t>Tiltrod, Metal, "O" Style</t>
  </si>
  <si>
    <t>B1.</t>
  </si>
  <si>
    <t>B12.</t>
  </si>
  <si>
    <t>B3.</t>
  </si>
  <si>
    <t>None</t>
  </si>
  <si>
    <t>VB05-0301 (x2)</t>
  </si>
  <si>
    <t>Tiltrod, Metal, "O" Style (x2)</t>
  </si>
  <si>
    <t>SB91-1003</t>
  </si>
  <si>
    <t>N/A</t>
  </si>
  <si>
    <t>Round Rod 12mm Galvanised</t>
  </si>
  <si>
    <t>-</t>
  </si>
  <si>
    <t>WB Code</t>
  </si>
  <si>
    <t>Ballast No.</t>
  </si>
  <si>
    <t>FABRICS</t>
  </si>
  <si>
    <t>DESCRIPTION</t>
  </si>
  <si>
    <t>FABRIC (gsm)</t>
  </si>
  <si>
    <t>Weight (kg/m²)</t>
  </si>
  <si>
    <t>Ferrari Soltis 93</t>
  </si>
  <si>
    <t>Mermet: Sunscreen Satine 5500 (used at R&amp;T)</t>
  </si>
  <si>
    <t>Soltis Blockout (B99, B92, B702)</t>
  </si>
  <si>
    <t>Externals Fabric</t>
  </si>
  <si>
    <t>Custom</t>
  </si>
  <si>
    <t>← Manually type in "Custom" Fabric Density in red cell</t>
  </si>
  <si>
    <t>Chain Winders/Clutches</t>
  </si>
  <si>
    <t>Winder/Clutch</t>
  </si>
  <si>
    <t>Diameter (mm)</t>
  </si>
  <si>
    <t>Clutch Hold Capacity (Nm)</t>
  </si>
  <si>
    <t>Clutch Ratio (Geard Clutches Only)</t>
  </si>
  <si>
    <t>Friction (Nm)</t>
  </si>
  <si>
    <t>RB07-70 |S35</t>
  </si>
  <si>
    <t>RB07-70 Chain Winder | S35</t>
  </si>
  <si>
    <t>RB07-70 |S40/45</t>
  </si>
  <si>
    <t>RB07-70 Chain Winder | S40/45</t>
  </si>
  <si>
    <t>RB07-90 |S40/45</t>
  </si>
  <si>
    <t>RB07-90 Chain Winder | S40/45</t>
  </si>
  <si>
    <t>RB08 | S35</t>
  </si>
  <si>
    <t>RB08 Chain Winder | S35</t>
  </si>
  <si>
    <t>RB08 | S40/45</t>
  </si>
  <si>
    <t>RB08 Chain Winder | S40/45</t>
  </si>
  <si>
    <t>RB09</t>
  </si>
  <si>
    <t>RB09 Chain Winder S45</t>
  </si>
  <si>
    <t>Chainwand</t>
  </si>
  <si>
    <t>RB09 Chainwand | S45</t>
  </si>
  <si>
    <t>RB10</t>
  </si>
  <si>
    <t>RB10 Chain Winder | S60</t>
  </si>
  <si>
    <t>RB12</t>
  </si>
  <si>
    <t>One Touch Chain Winder</t>
  </si>
  <si>
    <t>SS38 | Direct</t>
  </si>
  <si>
    <t>SS38 Direct Drive 5mm Square</t>
  </si>
  <si>
    <t>SS38 | Planetary</t>
  </si>
  <si>
    <t>SS38 Planetary Drive 5mm Square</t>
  </si>
  <si>
    <t>SL5</t>
  </si>
  <si>
    <t>Skyline 5 Pound Clutch</t>
  </si>
  <si>
    <t>SL10</t>
  </si>
  <si>
    <t>Skyline 10 Pound Clutch</t>
  </si>
  <si>
    <t>SL15 Lite</t>
  </si>
  <si>
    <t>Skyline 15 Pound Clutch (Lite)</t>
  </si>
  <si>
    <t>SL15</t>
  </si>
  <si>
    <t>Skyline 15 Pound Clutch</t>
  </si>
  <si>
    <t>SL20 Lite</t>
  </si>
  <si>
    <t>Skyline 20 Pound Clutch (Lite)</t>
  </si>
  <si>
    <t>SL20</t>
  </si>
  <si>
    <t>Skyline 20 Pound Clutch</t>
  </si>
  <si>
    <t>SL30</t>
  </si>
  <si>
    <t>Skyline 30 Pound Clutch</t>
  </si>
  <si>
    <t>RGALH</t>
  </si>
  <si>
    <t>G200 Galaxy Skyline Geard Clutch</t>
  </si>
  <si>
    <t>RGAL400H</t>
  </si>
  <si>
    <t>G400 Galaxy Skyline Geard Clutch</t>
  </si>
  <si>
    <t>R3</t>
  </si>
  <si>
    <t>R-Series 3 Pound Clutch</t>
  </si>
  <si>
    <t>R8</t>
  </si>
  <si>
    <t>R-Series 8 Pound Clutch</t>
  </si>
  <si>
    <t>R16</t>
  </si>
  <si>
    <t>R-Series 16 Pound Clutch</t>
  </si>
  <si>
    <t>R24</t>
  </si>
  <si>
    <t>R-Series 24 Pound Clutch</t>
  </si>
  <si>
    <t>Gears</t>
  </si>
  <si>
    <t>Part Number</t>
  </si>
  <si>
    <t>Torque (Nm)</t>
  </si>
  <si>
    <t>MG05-4007-xxx001</t>
  </si>
  <si>
    <t>Gear - Small [Ratio 2.8-1] - 2Nm</t>
  </si>
  <si>
    <t>MG05-4107-xxx001/2</t>
  </si>
  <si>
    <t>Gear - Medium [Ratio 4:1] - 6.5Nm</t>
  </si>
  <si>
    <t>MG05-4207-xxx001/2</t>
  </si>
  <si>
    <t>Gear - Large [Ratio 6:1] - 8Nm</t>
  </si>
  <si>
    <t>MG05-4013-xxx001</t>
  </si>
  <si>
    <t>Gear - H/Duty [Ratio 9:1] - 16Nm</t>
  </si>
  <si>
    <t>RE01-0513-xxx063</t>
  </si>
  <si>
    <t>Gear - Medium [Ratio 5.33:1] - 7.5Nm</t>
  </si>
  <si>
    <t>Motors</t>
  </si>
  <si>
    <t>Nm</t>
  </si>
  <si>
    <t>Gravity:</t>
  </si>
  <si>
    <r>
      <t>m/s</t>
    </r>
    <r>
      <rPr>
        <sz val="11"/>
        <color theme="1"/>
        <rFont val="Calibri"/>
        <family val="2"/>
      </rPr>
      <t>²</t>
    </r>
  </si>
  <si>
    <t>Multiplier because of the friction of the link:</t>
  </si>
  <si>
    <t>Shade 5</t>
  </si>
  <si>
    <t>link 4</t>
  </si>
  <si>
    <t>Shade 4</t>
  </si>
  <si>
    <t>Link 3</t>
  </si>
  <si>
    <t>Shade 3</t>
  </si>
  <si>
    <t>Link 2</t>
  </si>
  <si>
    <t>Shade 2</t>
  </si>
  <si>
    <t>Link 1</t>
  </si>
  <si>
    <t>Shade 1</t>
  </si>
  <si>
    <t>Driving force</t>
  </si>
  <si>
    <r>
      <t>Fabric weight</t>
    </r>
    <r>
      <rPr>
        <sz val="7.7"/>
        <color theme="1"/>
        <rFont val="Calibri"/>
        <family val="2"/>
      </rPr>
      <t>:</t>
    </r>
  </si>
  <si>
    <t>g/m²</t>
  </si>
  <si>
    <t>Link 4 torgue:</t>
  </si>
  <si>
    <t>Link 3 torgue:</t>
  </si>
  <si>
    <t>Link 2 torgue:</t>
  </si>
  <si>
    <t>Link 1 torgue:</t>
  </si>
  <si>
    <t>Clutch / motor torque</t>
  </si>
  <si>
    <t>Hem bar weight:</t>
  </si>
  <si>
    <t>g/m</t>
  </si>
  <si>
    <t>Tube diameter:</t>
  </si>
  <si>
    <t>Shade width:</t>
  </si>
  <si>
    <t>m</t>
  </si>
  <si>
    <t>Shade drop:</t>
  </si>
  <si>
    <t>Shade weight:</t>
  </si>
  <si>
    <t>kg</t>
  </si>
  <si>
    <t>Total Shade weight:</t>
  </si>
  <si>
    <t>F=</t>
  </si>
  <si>
    <t>N</t>
  </si>
  <si>
    <t>Torque=</t>
  </si>
  <si>
    <t>INPUT</t>
  </si>
  <si>
    <t>ILLUSTRATION</t>
  </si>
  <si>
    <t>*</t>
  </si>
  <si>
    <t>Imperial</t>
  </si>
  <si>
    <t>Option</t>
  </si>
  <si>
    <t>Input</t>
  </si>
  <si>
    <t>Instructions</t>
  </si>
  <si>
    <t>CALCULATIONS</t>
  </si>
  <si>
    <t>Weight Bar Mass</t>
  </si>
  <si>
    <t>=</t>
  </si>
  <si>
    <t>kg/m</t>
  </si>
  <si>
    <t>Ballast Mass</t>
  </si>
  <si>
    <t>Total Mass</t>
  </si>
  <si>
    <t>WEIGHT BAR</t>
  </si>
  <si>
    <t>Fabric Density</t>
  </si>
  <si>
    <t>kg/m2</t>
  </si>
  <si>
    <t>← Choose Ballast</t>
  </si>
  <si>
    <t>Pre-Wrap Allowance</t>
  </si>
  <si>
    <t>PRE-WRAP ALLOWANCE</t>
  </si>
  <si>
    <t>← Choose to Add or Not Add Pre-Wrap</t>
  </si>
  <si>
    <t>Blind Weight</t>
  </si>
  <si>
    <t>SYSTEM</t>
  </si>
  <si>
    <t>ESU</t>
  </si>
  <si>
    <t>← System Type</t>
  </si>
  <si>
    <t>Chain Winder Lifting Capacity</t>
  </si>
  <si>
    <t>S45 STD</t>
  </si>
  <si>
    <t>← Choose Tube</t>
  </si>
  <si>
    <t>Tube OD</t>
  </si>
  <si>
    <t>BRACKET</t>
  </si>
  <si>
    <t>LX/VX/AX Bracket-40p</t>
  </si>
  <si>
    <t>← Choose Brackets</t>
  </si>
  <si>
    <t>Tube Radius</t>
  </si>
  <si>
    <t>Retrofit Booster Capacity</t>
  </si>
  <si>
    <t>INPUT CUSTOM PARTS IF REQUIRED</t>
  </si>
  <si>
    <t>Retrofit Booster Selected</t>
  </si>
  <si>
    <t>Spring Rate</t>
  </si>
  <si>
    <t>Nm/turn</t>
  </si>
  <si>
    <t>BALLAST</t>
  </si>
  <si>
    <t>constant for n is -drop/pi()</t>
  </si>
  <si>
    <t>No. of Rotations to achieve drop</t>
  </si>
  <si>
    <t>SUMMARY</t>
  </si>
  <si>
    <t>Total Turns</t>
  </si>
  <si>
    <t>BLIND MASS</t>
  </si>
  <si>
    <t>AERO</t>
  </si>
  <si>
    <t>Applied Torque (Pre-Turn + Total_Turns)</t>
  </si>
  <si>
    <t>TUBE DEFLECTION</t>
  </si>
  <si>
    <t>Total Torque of Retrofit Booster</t>
  </si>
  <si>
    <t>FABRIC ROLL</t>
  </si>
  <si>
    <t>Max. Roll</t>
  </si>
  <si>
    <t>Max lifting capacity of Retrofit</t>
  </si>
  <si>
    <t>Max. Drop</t>
  </si>
  <si>
    <t>LIMITER CAPACITY</t>
  </si>
  <si>
    <t>User Effort (AERO Lowering)</t>
  </si>
  <si>
    <t>BOOSTER</t>
  </si>
  <si>
    <t>Blind weight converted to N</t>
  </si>
  <si>
    <t>Blind weight converted to Torque</t>
  </si>
  <si>
    <t>Chain Wheel Friction</t>
  </si>
  <si>
    <t>Friction</t>
  </si>
  <si>
    <t xml:space="preserve">Retrofit Torque - Blind Torque + Friction </t>
  </si>
  <si>
    <t>Chain Wheel Diameter</t>
  </si>
  <si>
    <t>This document and its content is the property of Rollease Acmeda</t>
  </si>
  <si>
    <t>Chain Radius</t>
  </si>
  <si>
    <t>Force User has to overcome</t>
  </si>
  <si>
    <t>Force converted to KG</t>
  </si>
  <si>
    <t>Roll Size</t>
  </si>
  <si>
    <t>Constant(n)</t>
  </si>
  <si>
    <t>D - t</t>
  </si>
  <si>
    <t>WORKING PARAMETERS</t>
  </si>
  <si>
    <t>Max No. Rotations</t>
  </si>
  <si>
    <t>Rolled up Diameter</t>
  </si>
  <si>
    <t>Fabric Thickness</t>
  </si>
  <si>
    <t>Blind Width</t>
  </si>
  <si>
    <t>Tube Info</t>
  </si>
  <si>
    <t>Blind Drop</t>
  </si>
  <si>
    <t>Modulus, Ei</t>
  </si>
  <si>
    <t>Nm^2</t>
  </si>
  <si>
    <t>Tube Weight</t>
  </si>
  <si>
    <t>Tube deflection amount</t>
  </si>
  <si>
    <t>↓Conv</t>
  </si>
  <si>
    <t>1 lb/yd</t>
  </si>
  <si>
    <t>1 in</t>
  </si>
  <si>
    <t>1 lbf</t>
  </si>
  <si>
    <t>1 oz/yd²</t>
  </si>
  <si>
    <t>Limits</t>
  </si>
  <si>
    <t>Max Effort</t>
  </si>
  <si>
    <t>Max Limiter Capacity</t>
  </si>
  <si>
    <t>Max Blind Mass</t>
  </si>
  <si>
    <t>Max AERO Drop</t>
  </si>
  <si>
    <t>Max ESU Drop</t>
  </si>
  <si>
    <t>Notes</t>
  </si>
  <si>
    <t>User effort (lifting) cannot be less than the friction in the clutch (approx 0.2Nm). Create IF statement (or similar) to control this</t>
  </si>
  <si>
    <t>When lowering the blind, if the weight of the blind is greater than the friction + Retrofit Torque the actual value should be the friction value.</t>
  </si>
  <si>
    <t>C:\RA Vault\Projects Library\Rollers\ESV-17091 - Aero Calculator\ESV-17091 - Aero&amp;ESU Calculator_v0.4.xlsm</t>
  </si>
  <si>
    <t>Fabric</t>
  </si>
  <si>
    <t>Blind</t>
  </si>
  <si>
    <t>Tube</t>
  </si>
  <si>
    <t>DRIVING TORQUE</t>
  </si>
  <si>
    <t>SYSTEM COMPATIBILITY</t>
  </si>
  <si>
    <t>CLUTCH</t>
  </si>
  <si>
    <t>MOTOR</t>
  </si>
  <si>
    <t>Units</t>
  </si>
  <si>
    <t>Metric</t>
  </si>
  <si>
    <t>Ilustración</t>
  </si>
  <si>
    <t>Español</t>
  </si>
  <si>
    <t>English (AU)</t>
  </si>
  <si>
    <t>Tela</t>
  </si>
  <si>
    <t>Peso</t>
  </si>
  <si>
    <t>Cortina</t>
  </si>
  <si>
    <t>Setup</t>
  </si>
  <si>
    <t>DELETE</t>
  </si>
  <si>
    <t>English (US)</t>
  </si>
  <si>
    <t>Shade</t>
  </si>
  <si>
    <t>LANGUAGE</t>
  </si>
  <si>
    <t>Fabric Weight</t>
  </si>
  <si>
    <t>Ballast</t>
  </si>
  <si>
    <t>FABRIC WEIGHT</t>
  </si>
  <si>
    <t>FABRIC THICKNESS</t>
  </si>
  <si>
    <t>COMPATIBLE CLUTCH</t>
  </si>
  <si>
    <t>COMPATIBLE MOTOR</t>
  </si>
  <si>
    <t>Sample</t>
  </si>
  <si>
    <t>Motor Part Number Rollease Acmeda</t>
  </si>
  <si>
    <t>Manufacturig Number Rollease Acmeda</t>
  </si>
  <si>
    <t>Motor
Size</t>
  </si>
  <si>
    <t>MTDCRF18-0.2</t>
    <phoneticPr fontId="4" type="noConversion"/>
  </si>
  <si>
    <t>MG24-18DE-002080</t>
  </si>
  <si>
    <t>12VDC</t>
  </si>
  <si>
    <t>ETL/CETL (UL325) ETL Assessment (UL 1004, C22,2 No.100)</t>
  </si>
  <si>
    <t>18mm DCRF Motor, .2Nm/80</t>
  </si>
  <si>
    <t>DC Power Supply</t>
  </si>
  <si>
    <t>12 VDC</t>
  </si>
  <si>
    <t>ARC</t>
  </si>
  <si>
    <t>FSK</t>
  </si>
  <si>
    <t>IP44</t>
  </si>
  <si>
    <t>Electronic</t>
  </si>
  <si>
    <t>∞</t>
  </si>
  <si>
    <t>III</t>
  </si>
  <si>
    <t>MTDCBRF18-0.2</t>
    <phoneticPr fontId="4" type="noConversion"/>
  </si>
  <si>
    <t>MG24-18DE-002280</t>
  </si>
  <si>
    <t>Batt</t>
  </si>
  <si>
    <t>18mm DCRF Battery Motor, .2Nm/80</t>
  </si>
  <si>
    <t>Li-ion Battery</t>
  </si>
  <si>
    <t>32-140 (0-60)</t>
  </si>
  <si>
    <t>MTDCBSW25-1.1</t>
  </si>
  <si>
    <t>MG24-25DE-011440</t>
  </si>
  <si>
    <t>Rollers - Wand</t>
  </si>
  <si>
    <t>Li-ion 1.1 SW</t>
  </si>
  <si>
    <t>DM25JLB306-1.1N/40r 12V</t>
    <phoneticPr fontId="4" type="noConversion"/>
  </si>
  <si>
    <t>25mm DC Switch Wand Battery Motor, 1.1Nm/40r</t>
  </si>
  <si>
    <t>/</t>
    <phoneticPr fontId="4" type="noConversion"/>
  </si>
  <si>
    <t>MTDCRF25-1.1</t>
  </si>
  <si>
    <t>MG24-25DE-011040</t>
  </si>
  <si>
    <t>25mm DCRF Motor, 1.1Nm/40r</t>
  </si>
  <si>
    <t>MTDCBRF25-1.1</t>
  </si>
  <si>
    <t>MG24-25DE-011240</t>
  </si>
  <si>
    <t>AUTOMATE | Li-ion [25mm/1.1Nm/40rpm] ARC-MTR 12V</t>
  </si>
  <si>
    <t>MTDCRFQ28-2</t>
  </si>
  <si>
    <t>MG24-28DE-020128</t>
  </si>
  <si>
    <t>28mm DCRF Quiet Motor, 2Nm/28r</t>
  </si>
  <si>
    <t>MTDCBRFQ28-2</t>
  </si>
  <si>
    <t>MG24-28DE-020328</t>
  </si>
  <si>
    <t>AUTOMATE | Q Li-ion  [28mm/2Nm/28rpm] ARC-MTR 12V</t>
  </si>
  <si>
    <t>MTDCRF35-3</t>
  </si>
  <si>
    <t>MG24-35DE-030028</t>
  </si>
  <si>
    <t>35mm DCRF Motor, 3Nm/28r</t>
  </si>
  <si>
    <t>MTDCBRF35-3</t>
  </si>
  <si>
    <t>MG24-35DE-030228</t>
  </si>
  <si>
    <t>AUTOMATE | Li-ion [35mm/3Nm/28rpm] ARC-MTR 12V</t>
  </si>
  <si>
    <t>MTDCRFQ45-3</t>
  </si>
  <si>
    <t>MG24-45DE-030128</t>
  </si>
  <si>
    <t>45mm DCRF Quiet Motor, 3Nm/28r</t>
  </si>
  <si>
    <t>MTDCRF45-10</t>
  </si>
  <si>
    <t>MG24-45DE-100009</t>
  </si>
  <si>
    <t>45mm DCRF Motor, 10Nm/9r</t>
  </si>
  <si>
    <t>MTDCBRFQ45-3</t>
  </si>
  <si>
    <t>MG24-45DE-030328</t>
  </si>
  <si>
    <t>45mm DCRF Quiet Battery Motor, 3Nm/28r</t>
  </si>
  <si>
    <t>MTDCBRF45-10</t>
  </si>
  <si>
    <t>MG24-45DE-100209</t>
  </si>
  <si>
    <t>45mm DCRF Battery Motor, 10Nm/9r</t>
  </si>
  <si>
    <t>MTDCRF-TILT-1</t>
  </si>
  <si>
    <t>MG24-TMDE-010012</t>
  </si>
  <si>
    <t>Venetian</t>
  </si>
  <si>
    <t>VT 1.0 Tilt</t>
  </si>
  <si>
    <t>DV50CE/S-1.0N/12r 12V</t>
    <phoneticPr fontId="4" type="noConversion"/>
  </si>
  <si>
    <t>2AGGZMTDCRFTILT1</t>
  </si>
  <si>
    <t>Tilt Motor for Venetian Blinds, 1.0Nm/12r (inc cradle)</t>
  </si>
  <si>
    <t>MTDCRF-CL-0.6-34</t>
  </si>
  <si>
    <t>MG24-CLDE-006034</t>
  </si>
  <si>
    <t>DVQ24CE/L-0.6/34 DELETE</t>
    <phoneticPr fontId="4" type="noConversion"/>
  </si>
  <si>
    <t>2AGGZMTDCRFCL0634</t>
  </si>
  <si>
    <t>Cord Lift DCRF Motor, 0.6Nm/34r</t>
  </si>
  <si>
    <t>MTDCRF-CL-0.6-50</t>
  </si>
  <si>
    <t>MG24-CLDE-006050</t>
  </si>
  <si>
    <t>Roman</t>
  </si>
  <si>
    <t>VT 0.6 Cord Lift</t>
  </si>
  <si>
    <t>DV24CE/S-0.6N/50r 12V</t>
    <phoneticPr fontId="4" type="noConversion"/>
  </si>
  <si>
    <t>Cord Lift DCRF Motor, 0.6Nm/50r</t>
  </si>
  <si>
    <t>MTACML35-6</t>
    <phoneticPr fontId="4" type="noConversion"/>
  </si>
  <si>
    <t>MG24-35AM-060033</t>
  </si>
  <si>
    <t>ETL/CETL &amp; FCC/IC  (UL 325, C22.2 No. 247, FCC part 15B/15C )</t>
  </si>
  <si>
    <t>35mm AC Motor, Mech Limit 6N/33r</t>
  </si>
  <si>
    <t>AC Mains</t>
  </si>
  <si>
    <t>I</t>
    <phoneticPr fontId="4" type="noConversion"/>
  </si>
  <si>
    <t>MTACQML35-6</t>
    <phoneticPr fontId="4" type="noConversion"/>
  </si>
  <si>
    <t>MG24-35AM-060124</t>
  </si>
  <si>
    <t>35mm AC Quiet Motor, Mech Limit 6N/33r</t>
  </si>
  <si>
    <t>MTACRF35-6</t>
  </si>
  <si>
    <t>MG24-35AE-060033</t>
  </si>
  <si>
    <t>35mm ACRF Motor, 6N/33r</t>
  </si>
  <si>
    <t>MTACRF35-6LC</t>
  </si>
  <si>
    <t>MTACQRF35-6</t>
  </si>
  <si>
    <t>MG24-35AE-060124</t>
  </si>
  <si>
    <t>35mm Quiet ACRF Motor, 6N/24r</t>
  </si>
  <si>
    <t>MTACQ45-10-M</t>
  </si>
  <si>
    <t>MG24-45AM-100121</t>
  </si>
  <si>
    <t>45mm AC Quiet Motor, Mech Limit 10.0/21</t>
  </si>
  <si>
    <t>MTAC45-20-M</t>
  </si>
  <si>
    <t>MG24-45AM-200032</t>
  </si>
  <si>
    <t>45mm AC Motor, Mech Limit 20N/32r</t>
  </si>
  <si>
    <t>MTACQRF45-10</t>
  </si>
  <si>
    <t>MG24-45AE-100121</t>
  </si>
  <si>
    <t>45mm ACRF Quiet Motor, 10N/21r</t>
  </si>
  <si>
    <t>MTACQRF45-10LC</t>
  </si>
  <si>
    <t>MTACRF45-15</t>
  </si>
  <si>
    <t>MG24-45AE-150032</t>
  </si>
  <si>
    <t>45mm ACRF Motor, 15N/32r</t>
  </si>
  <si>
    <t>MTACRFDR-50KG</t>
  </si>
  <si>
    <t>MG24-DRAE-012014</t>
  </si>
  <si>
    <t>110-240VAC</t>
  </si>
  <si>
    <t>Curtain</t>
  </si>
  <si>
    <t>C 1.2 Drapery</t>
  </si>
  <si>
    <t>DT12TV/S-1.2N/14cm 110V-240V</t>
    <phoneticPr fontId="4" type="noConversion"/>
  </si>
  <si>
    <t>2AGGZMTACRFDR50KG</t>
  </si>
  <si>
    <t>Drape Motor, ACRF, 1.2N/14 - 50KG</t>
  </si>
  <si>
    <t>110-240VAC / 50-60Hz</t>
    <phoneticPr fontId="4" type="noConversion"/>
  </si>
  <si>
    <t>II</t>
    <phoneticPr fontId="4" type="noConversion"/>
  </si>
  <si>
    <t>MTACRFDR-50KGLC</t>
  </si>
  <si>
    <t>MT01-1145-069002</t>
  </si>
  <si>
    <t>MT01-1145-069004</t>
  </si>
  <si>
    <t>45mm ACRF Quiet Motor, 10N/21r - 20' cord</t>
  </si>
  <si>
    <t>MT01-1145-069003</t>
  </si>
  <si>
    <t>RB24-4501-069007</t>
  </si>
  <si>
    <t>MG24-35AM-060028</t>
  </si>
  <si>
    <t>240V</t>
  </si>
  <si>
    <t>Dollar Curtains | S45ML MOTOR [Ø35/6Nm/28rpm]</t>
  </si>
  <si>
    <t>220-240V / 50 Hz</t>
  </si>
  <si>
    <t>RB24-4502-069003</t>
  </si>
  <si>
    <t xml:space="preserve">AUTOMATE | S45ML slim MOTOR [Ø35/6Nm/28rpm] </t>
  </si>
  <si>
    <t>RB24-4502-069002</t>
  </si>
  <si>
    <t>MG24-35AE-060028</t>
  </si>
  <si>
    <t xml:space="preserve">AUTOMATE | S45EL slim MOTOR [Ø35/6Nm/28rpm] </t>
  </si>
  <si>
    <t>ASK</t>
  </si>
  <si>
    <t>RB24-4502-069004</t>
  </si>
  <si>
    <t>MG24-35AE-060120</t>
  </si>
  <si>
    <t xml:space="preserve">AUTOMATE | S45EL Qslim MOTOR [Ø35/6Nm/20rpm] </t>
  </si>
  <si>
    <t>RB24-5001-069001</t>
  </si>
  <si>
    <t>MG24-45AE-500012</t>
  </si>
  <si>
    <t>45</t>
  </si>
  <si>
    <t>Awnings</t>
  </si>
  <si>
    <t xml:space="preserve">DM45E043-50N/12r </t>
    <phoneticPr fontId="4" type="noConversion"/>
  </si>
  <si>
    <t xml:space="preserve">1636145003          </t>
    <phoneticPr fontId="4" type="noConversion"/>
  </si>
  <si>
    <t>AUTOMATE | A50EL MOTOR [Ø45/50Nm/12rpm]</t>
  </si>
  <si>
    <t>RB24-5001-069002</t>
  </si>
  <si>
    <t xml:space="preserve">DM45ED043-50N/12r </t>
    <phoneticPr fontId="4" type="noConversion"/>
  </si>
  <si>
    <t xml:space="preserve">1636145004 </t>
    <phoneticPr fontId="4" type="noConversion"/>
  </si>
  <si>
    <t>AUTOMATE | A50Elc MOTOR [Ø45/50Nm/12rpm]</t>
  </si>
  <si>
    <t>RB24-5001-069003</t>
  </si>
  <si>
    <t>MG24-45AE-200015</t>
  </si>
  <si>
    <t xml:space="preserve">DM45ED043-20N/15r </t>
    <phoneticPr fontId="4" type="noConversion"/>
  </si>
  <si>
    <t xml:space="preserve">1636145007          </t>
    <phoneticPr fontId="4" type="noConversion"/>
  </si>
  <si>
    <t>AUTOMATE | A50Elc MOTOR [Ø45/20Nm/15rpm]</t>
  </si>
  <si>
    <t>RB24-6001-069005</t>
  </si>
  <si>
    <t>MG24-45AE-150015</t>
  </si>
  <si>
    <t>AUTOMATE | FT MOTOR [Ø45/15Nm/15rpm]</t>
  </si>
  <si>
    <t>MTACRF35-6-240V</t>
  </si>
  <si>
    <t>35</t>
  </si>
  <si>
    <t>AUTOMATE | E6 [35mm/6.0Nm/28r] ARC-MTR240V</t>
  </si>
  <si>
    <t>MT01-1145-050001</t>
  </si>
  <si>
    <t>AUTOMATE | ARC FT MOTOR [Ø45/15Nm/15rpm] with Clip</t>
  </si>
  <si>
    <t>A</t>
  </si>
  <si>
    <t>AC</t>
  </si>
  <si>
    <t>D</t>
  </si>
  <si>
    <t>DC</t>
  </si>
  <si>
    <t>0xx</t>
  </si>
  <si>
    <t>No Battery</t>
  </si>
  <si>
    <t>1xx</t>
  </si>
  <si>
    <t>No Battery Quiet</t>
  </si>
  <si>
    <t>2xx</t>
  </si>
  <si>
    <t>Battery</t>
  </si>
  <si>
    <t>3xx</t>
  </si>
  <si>
    <t>Battery Quiet</t>
  </si>
  <si>
    <t>4xx</t>
  </si>
  <si>
    <t>Switch Wand</t>
  </si>
  <si>
    <t>5xx</t>
  </si>
  <si>
    <t>Switch Wand Quiet</t>
  </si>
  <si>
    <t>xXX</t>
  </si>
  <si>
    <t>RPM</t>
  </si>
  <si>
    <t>90X</t>
  </si>
  <si>
    <t>Normal Noise</t>
  </si>
  <si>
    <t>91X</t>
  </si>
  <si>
    <t>Quiet</t>
  </si>
  <si>
    <t>M</t>
  </si>
  <si>
    <t>Mechanical Limit (No Radio Freq.)</t>
  </si>
  <si>
    <t>E</t>
  </si>
  <si>
    <t>Electronic Limit (Radio Freq.)</t>
  </si>
  <si>
    <t>DR</t>
  </si>
  <si>
    <t>Drapery Motor</t>
  </si>
  <si>
    <t>TM</t>
  </si>
  <si>
    <t>Tilt Motor</t>
  </si>
  <si>
    <t>CL</t>
  </si>
  <si>
    <t>Cord Lift</t>
  </si>
  <si>
    <t>1P2</t>
  </si>
  <si>
    <t>010</t>
  </si>
  <si>
    <t>012</t>
  </si>
  <si>
    <t>X10</t>
  </si>
  <si>
    <t>10X</t>
  </si>
  <si>
    <t>$NEVER_EXPAND_IN_BOM</t>
  </si>
  <si>
    <t>$PRP@PARTNO</t>
  </si>
  <si>
    <t>$PRP@DESCRIPTION</t>
  </si>
  <si>
    <t>$PRP@MATERIAL</t>
  </si>
  <si>
    <t>$PRP@SUPPLIER</t>
  </si>
  <si>
    <t>$PRP@COLOUR</t>
  </si>
  <si>
    <t>$PRP@REMARKS</t>
  </si>
  <si>
    <t>$PRP@WEIGHT</t>
  </si>
  <si>
    <t>$CONFIGURATION@SHELL_7_2_1&lt;1&gt;</t>
  </si>
  <si>
    <t>$PRP@POWER SOURCE</t>
  </si>
  <si>
    <t>$PRP@TORQUE</t>
  </si>
  <si>
    <t>$PRP@SPEED</t>
  </si>
  <si>
    <t>$PRP@MAX CONTINUOUS RUN TIME</t>
  </si>
  <si>
    <t>$PRP@VOLTAGE</t>
  </si>
  <si>
    <t>$PRP@CURRENT</t>
  </si>
  <si>
    <t>$PRP@POWER</t>
  </si>
  <si>
    <t>$PRP@BATTERY</t>
  </si>
  <si>
    <t>$PRP@SOUND LEVEL</t>
  </si>
  <si>
    <t>$PRP@WEIGHT KG</t>
  </si>
  <si>
    <t>$PRP@WEIGHT LBS</t>
  </si>
  <si>
    <t>$PRP@RADIO FREQUENCY</t>
  </si>
  <si>
    <t>$PRP@DISTANCE M</t>
  </si>
  <si>
    <t>$PRP@DISTANCE FT</t>
  </si>
  <si>
    <t>$PRP@TEMP WORKING RANGE C</t>
  </si>
  <si>
    <t>$PRP@TEMP WORKING RANGE F</t>
  </si>
  <si>
    <t>$PRP@RF PROTOCOL</t>
  </si>
  <si>
    <t>$PRP@RF MODULATION</t>
  </si>
  <si>
    <t>$PRP@IP CODE</t>
  </si>
  <si>
    <t>$PRP@LIMIT SWITCH TYPE</t>
  </si>
  <si>
    <t>$PRP@LIMIT RANGE</t>
  </si>
  <si>
    <t>$PRP@INSULATION CLASS</t>
  </si>
  <si>
    <t>MTDCRF18-0.2</t>
  </si>
  <si>
    <t>See Table</t>
  </si>
  <si>
    <t>0-60</t>
  </si>
  <si>
    <t>32-140</t>
  </si>
  <si>
    <t>C:\RA Vault\Administration\Registers\AutomateRangeMotorSpecifications_Master file.xlsx</t>
  </si>
  <si>
    <t>Blind Weight (per link)</t>
  </si>
  <si>
    <t>Total Blind Weidht</t>
  </si>
  <si>
    <t>Number of blinds</t>
  </si>
  <si>
    <t>NUMBER OF BLINDS</t>
  </si>
  <si>
    <t>NUMBER OF SHADES</t>
  </si>
  <si>
    <t>← Input (between 1 to 3)</t>
  </si>
  <si>
    <t>Roll Diameter</t>
  </si>
  <si>
    <t>Frictional Loss</t>
  </si>
  <si>
    <t>Control torque requirement</t>
  </si>
  <si>
    <t>Blind Torque</t>
  </si>
  <si>
    <t>Pre-Wrap</t>
  </si>
  <si>
    <t>turn</t>
  </si>
  <si>
    <t>Pre-Wrap Length</t>
  </si>
  <si>
    <t>Start roll diameter</t>
  </si>
  <si>
    <t># of wraps</t>
  </si>
  <si>
    <t>1 lbf-in</t>
  </si>
  <si>
    <t>Custom Ballast</t>
  </si>
  <si>
    <t>Control Compatibility</t>
  </si>
  <si>
    <t>CONTROL TORQUE REQUIREMENT</t>
  </si>
  <si>
    <t>Total Blind Weight</t>
  </si>
  <si>
    <t>FABRIC Thickness (mm)</t>
  </si>
  <si>
    <t>Thickness</t>
  </si>
  <si>
    <t>Weight</t>
  </si>
  <si>
    <t>Alkenz 3000 CA Series - can't be railroaded.</t>
  </si>
  <si>
    <t>Alkenz 3000 HT Series 3% - can't be railroaded.</t>
  </si>
  <si>
    <t>Alkenz 3000 HT Series 5% - can't be railroaded.</t>
  </si>
  <si>
    <t>Alkenz 3000 Net Series 1%</t>
  </si>
  <si>
    <t>Alkenz 3000 Net Series 10%</t>
  </si>
  <si>
    <t>Alkenz 3000 Net Series 3%</t>
  </si>
  <si>
    <t>Alkenz 3000 Net Series 5%</t>
  </si>
  <si>
    <t>Alkenz 3000 RR Series - can't be railroaded.</t>
  </si>
  <si>
    <t>Alkenz 3000 View R Series - can't be railroaded.</t>
  </si>
  <si>
    <t>Alkenz 4000 L Series - can't be railroaded.</t>
  </si>
  <si>
    <t>Alkenz 4000 Net Series  3%</t>
  </si>
  <si>
    <t>Alkenz 4000 Net Series 10%</t>
  </si>
  <si>
    <t>Alkenz 4000 Net Series 5%</t>
  </si>
  <si>
    <t>Alkenz 4000 W Series - can't be railroaded.</t>
  </si>
  <si>
    <t>Alkenz 4700 P Series - can't be railroaded.</t>
  </si>
  <si>
    <t>Alkenz 4700 Q Series - can't be railroaded.</t>
  </si>
  <si>
    <t>Almedahls: 101, 100% Cotton</t>
  </si>
  <si>
    <t>Almedahls: 101608, 100% Cotton</t>
  </si>
  <si>
    <t>Almedahls: 101638, 100% Cotton</t>
  </si>
  <si>
    <t>Almedahls: 101735, 100% Cotton</t>
  </si>
  <si>
    <t>Almedahls: 103, 100 % Polyester</t>
  </si>
  <si>
    <t>Almedahls: 104, 100% Cotton</t>
  </si>
  <si>
    <t>Almedahls: 107, 100 % Polyester</t>
  </si>
  <si>
    <t>Almedahls: 107099, 100 % Polyester, dark, 6.78oz/230g</t>
  </si>
  <si>
    <t>Almedahls: 107099, 100 % Polyester, light, 8,26oz/280g</t>
  </si>
  <si>
    <t>Almedahls: 108, 100% Cotton</t>
  </si>
  <si>
    <t>Almedahls: 108308, 100% Cotton</t>
  </si>
  <si>
    <t>Almedahls: 108338, 100% Cotton</t>
  </si>
  <si>
    <t>Almedahls: 108357, 100% Cotton</t>
  </si>
  <si>
    <t>Almedahls: 108359, 100% Cotton</t>
  </si>
  <si>
    <t>Almedahls: 108360, 100% Cotton</t>
  </si>
  <si>
    <t>Almedahls: 114139, 100% Cotton</t>
  </si>
  <si>
    <t>Almedahls: 114235, 100% Cotton</t>
  </si>
  <si>
    <t>Almedahls: 116935, 100% Cotton</t>
  </si>
  <si>
    <t>Almedahls: 116939, 100% Cotton</t>
  </si>
  <si>
    <t>Almedahls: 148339, 100% Cotton</t>
  </si>
  <si>
    <t>Almedahls: 184009, 90% Cotton 10% Flax</t>
  </si>
  <si>
    <t>Almedahls: 184039, 90% Cotton 10% Flax</t>
  </si>
  <si>
    <t>Almedahls: 184059, 90% Cotton 10% Flax</t>
  </si>
  <si>
    <t>Almedahls: 184109, 90% Cotton 10% Flax</t>
  </si>
  <si>
    <t>Almedahls: 184139, 90% Cotton 10% Flax</t>
  </si>
  <si>
    <t>Almedahls: 184209, 80% Cotton 20% Flax</t>
  </si>
  <si>
    <t>Almedahls: 184239, 80% Cotton 20% Flax</t>
  </si>
  <si>
    <t>Almedahls: 911832, 100 % Polyester</t>
  </si>
  <si>
    <t>Almedahls: 912630, 100 % Polyester</t>
  </si>
  <si>
    <t>Almedahls: 914232, 100 % Polyester</t>
  </si>
  <si>
    <t>Almedahls: 914438, 100 % Polyester</t>
  </si>
  <si>
    <t>Almedahls: 914538, 100 % Polyester</t>
  </si>
  <si>
    <t>Almedahls: 917132, 100 % Polyester</t>
  </si>
  <si>
    <t>Almedahls: 917147, 100 % Polyester</t>
  </si>
  <si>
    <t>Almedahls: 917172, 100 % Polyester</t>
  </si>
  <si>
    <t>Almedahls: 918338, 100 % Polyester</t>
  </si>
  <si>
    <t>Almedahls: 918345, 100 % Polyester</t>
  </si>
  <si>
    <t>Almedahls: 918348, 100 % Polyester</t>
  </si>
  <si>
    <t>Almedahls: 918359, 100 % Polyester</t>
  </si>
  <si>
    <t>Almedahls: 918361, 100 % Polyester</t>
  </si>
  <si>
    <t>Almedahls: 952309, 86% Polyester 14% Flax</t>
  </si>
  <si>
    <t>Almedahls: 952335, 86% Polyester 14% Flax</t>
  </si>
  <si>
    <t>Almedahls: 953208, 95% Polyester 5% Flax</t>
  </si>
  <si>
    <t>Almedahls: 953235, 95% Polyester 5% Flax</t>
  </si>
  <si>
    <t>SierraSol Mesa Blackout - can't be Railroaded.</t>
  </si>
  <si>
    <t>SierraSol Vista Blackout - can't be Railroaded.</t>
  </si>
  <si>
    <t>Mermet A</t>
  </si>
  <si>
    <t>Mermet Avila Twilight</t>
  </si>
  <si>
    <t>Mermet E 7501 1%</t>
  </si>
  <si>
    <t>Mermet E 7503 3%</t>
  </si>
  <si>
    <t>Mermet E 7505 5%</t>
  </si>
  <si>
    <t>Mermet E 7510 10%</t>
  </si>
  <si>
    <t>Mermet Flocké</t>
  </si>
  <si>
    <t>Mermet M 8503</t>
  </si>
  <si>
    <t>Mermet M 8505</t>
  </si>
  <si>
    <t>Mermet M Deco</t>
  </si>
  <si>
    <t>Mermet Natte</t>
  </si>
  <si>
    <t>Mermet Vela</t>
  </si>
  <si>
    <t>Mermet Vienne</t>
  </si>
  <si>
    <t>Phifer, SheerWeave Linen</t>
  </si>
  <si>
    <t>Phifer, SheerWeave Style 1000</t>
  </si>
  <si>
    <t>Phifer, SheerWeave Style 2000</t>
  </si>
  <si>
    <t>Phifer, SheerWeave Style 2100</t>
  </si>
  <si>
    <t>Phifer, SheerWeave Style 2360</t>
  </si>
  <si>
    <t>Phifer, SheerWeave Style 2390</t>
  </si>
  <si>
    <t>Phifer, SheerWeave Style 2410</t>
  </si>
  <si>
    <t>Phifer, SheerWeave Style 2500</t>
  </si>
  <si>
    <t>Phifer, SheerWeave Style 2701</t>
  </si>
  <si>
    <t>Phifer, SheerWeave Style 2703</t>
  </si>
  <si>
    <t>Phifer, SheerWeave Style 2705</t>
  </si>
  <si>
    <t>Phifer, SheerWeave Style 2710</t>
  </si>
  <si>
    <t>Phifer, SheerWeave Style 3000</t>
  </si>
  <si>
    <t>Phifer, SheerWeave Style 4000</t>
  </si>
  <si>
    <t>Phifer, SheerWeave Style 4100</t>
  </si>
  <si>
    <t>Phifer, SheerWeave Style 4400</t>
  </si>
  <si>
    <t>Phifer, SheerWeave Style 4500</t>
  </si>
  <si>
    <t>Phifer, SheerWeave Style 4550</t>
  </si>
  <si>
    <t>Phifer, SheerWeave Style 4600</t>
  </si>
  <si>
    <t>Phifer, SheerWeave Style 4650</t>
  </si>
  <si>
    <t>Phifer, SheerWeave Style 4700</t>
  </si>
  <si>
    <t>Phifer, SheerWeave Style 4800</t>
  </si>
  <si>
    <t>Phifer, SheerWeave Style 5000: P59, P60, Q43</t>
  </si>
  <si>
    <t>Phifer, SheerWeave Style 5000: Q45, Q47, Q48</t>
  </si>
  <si>
    <t>Phifer, SheerWeave Style 5000: Q46, Q49, Q50, Q51</t>
  </si>
  <si>
    <t xml:space="preserve">Phifer, SheerWeave Style 5000: Q52, </t>
  </si>
  <si>
    <t>Phifer, SheerWeave Style 5000: Q53</t>
  </si>
  <si>
    <t>Phifer, SheerWeave Style 5000: Q93</t>
  </si>
  <si>
    <t>Phifer, SheerWeave Style 5000: Q94</t>
  </si>
  <si>
    <t>Phifer, SheerWeave Style 5000: Q95</t>
  </si>
  <si>
    <t>Phifer, SheerWeave Style 5000: Q96</t>
  </si>
  <si>
    <t>Phifer, SheerWeave Style 7000</t>
  </si>
  <si>
    <t>Phifer, SheerWeave Style 7100</t>
  </si>
  <si>
    <t>Phifer, SheerWeave Style 7300</t>
  </si>
  <si>
    <t>Phifer, SheerWeave Style 7500, thick</t>
  </si>
  <si>
    <t>Phifer, SheerWeave Style 7500, thin</t>
  </si>
  <si>
    <t>Phifer, SunTex 80</t>
  </si>
  <si>
    <t>Phifer, SunTex 90</t>
  </si>
  <si>
    <t>Q47 SW5000</t>
  </si>
  <si>
    <t>From Shade Calculator</t>
  </si>
  <si>
    <t>HEM BAR</t>
  </si>
  <si>
    <t>←Value to display for incompatible part</t>
  </si>
  <si>
    <t>List of Compatible Clutches</t>
  </si>
  <si>
    <t># of Compatible Parts</t>
  </si>
  <si>
    <t>TOTAL BLIND WEIGHT</t>
  </si>
  <si>
    <t>TOTAL SHADE WEIGHT</t>
  </si>
  <si>
    <t>LINK TORQUE</t>
  </si>
  <si>
    <t>SHADE WEIGHT</t>
  </si>
  <si>
    <t>BLIND WEIGHT</t>
  </si>
  <si>
    <t>ROLL SIZE</t>
  </si>
  <si>
    <t>BLIND TORQUE</t>
  </si>
  <si>
    <t>SHADE TORQUE</t>
  </si>
  <si>
    <t>TUBE</t>
  </si>
  <si>
    <t>TUBO</t>
  </si>
  <si>
    <t>Mass</t>
  </si>
  <si>
    <t>CONTROL</t>
  </si>
  <si>
    <t>RTEA1</t>
  </si>
  <si>
    <t>RTEA2</t>
  </si>
  <si>
    <t>RTEA3</t>
  </si>
  <si>
    <t>RTEA4</t>
  </si>
  <si>
    <t>RTEA5</t>
  </si>
  <si>
    <t>RTEA6</t>
  </si>
  <si>
    <t>RTEA7</t>
  </si>
  <si>
    <t>COMPATIBILITY OF TUBE &amp; CONTROL SYSTEM (EXISTING HARDWARE)</t>
  </si>
  <si>
    <t>Motor Type</t>
  </si>
  <si>
    <t>DM25</t>
  </si>
  <si>
    <t>DM28</t>
  </si>
  <si>
    <t>DM35</t>
  </si>
  <si>
    <t>DM45</t>
  </si>
  <si>
    <t>S35</t>
  </si>
  <si>
    <t>S40</t>
  </si>
  <si>
    <t>S45</t>
  </si>
  <si>
    <t>S60</t>
  </si>
  <si>
    <t>S100</t>
  </si>
  <si>
    <t>TUBE (System)</t>
  </si>
  <si>
    <t>OFFER</t>
  </si>
  <si>
    <t>S35 STD</t>
  </si>
  <si>
    <t>S35 HD</t>
  </si>
  <si>
    <t>S40 39 Spline</t>
  </si>
  <si>
    <t>S40 HD</t>
  </si>
  <si>
    <t>S40 STD</t>
  </si>
  <si>
    <t>S45 LIGHT</t>
  </si>
  <si>
    <t>S45 HD</t>
  </si>
  <si>
    <t>S60 | 60 STD</t>
  </si>
  <si>
    <t>S60 | 80 HD</t>
  </si>
  <si>
    <t>S100 | 110 STD</t>
  </si>
  <si>
    <t>S100 | 130 HD</t>
  </si>
  <si>
    <t>S100 | 160 HD</t>
  </si>
  <si>
    <t>TUBE SELECT LIST</t>
  </si>
  <si>
    <t>←value to display for incompatible tubes</t>
  </si>
  <si>
    <t>INDEX</t>
  </si>
  <si>
    <t>LIST</t>
  </si>
  <si>
    <t>← Dynamic Tube dropdown list size</t>
  </si>
  <si>
    <t># of Rows</t>
  </si>
  <si>
    <t>Tube compatibility</t>
  </si>
  <si>
    <t>Compatibility List</t>
  </si>
  <si>
    <t>Calculator Date:</t>
  </si>
  <si>
    <t>MAX CAPACITY OF LINK SYSTEM</t>
  </si>
  <si>
    <t>LINK SYSTEM</t>
  </si>
  <si>
    <t>COMPATIBILITY OF TUBE &amp; LINK SYSTEM</t>
  </si>
  <si>
    <t>LINK</t>
  </si>
  <si>
    <t>S60 MULTI-LINK</t>
  </si>
  <si>
    <t>INFINITE LINK SYSTEM</t>
  </si>
  <si>
    <t>User Selected Tube System</t>
  </si>
  <si>
    <t>LINK TORQUE REQUIREMENT</t>
  </si>
  <si>
    <t>Link Torque Requirement</t>
  </si>
  <si>
    <t>COMPATIBLE LINK SYSTEM</t>
  </si>
  <si>
    <t>LAST LINE. DO NOT FILL.</t>
  </si>
  <si>
    <t>Revision:</t>
  </si>
  <si>
    <t>S60 UNI-LINK</t>
  </si>
  <si>
    <t>EASY-LINK SKYLINE</t>
  </si>
  <si>
    <t>EASY-LINK</t>
  </si>
  <si>
    <t>EASY-LINK UNI-JOINT</t>
  </si>
  <si>
    <t>PRE-WRAP</t>
  </si>
  <si>
    <t>Width</t>
  </si>
  <si>
    <t>Drop</t>
  </si>
  <si>
    <t>WEIGHT</t>
  </si>
  <si>
    <t>THICKNESS</t>
  </si>
  <si>
    <t>FABRIC SELECT LIST</t>
  </si>
  <si>
    <t>← Dynamic Fabric dropdown list size</t>
  </si>
  <si>
    <t>WB SELECT LIST</t>
  </si>
  <si>
    <t>SYSTEM SUMMARY</t>
  </si>
  <si>
    <t>Preceding Link Torque</t>
  </si>
  <si>
    <t>中文</t>
  </si>
  <si>
    <t>ROW</t>
  </si>
  <si>
    <t>WORD</t>
  </si>
  <si>
    <t>COL</t>
  </si>
  <si>
    <t>TRANSLATION</t>
  </si>
  <si>
    <t>TEST AREA</t>
  </si>
  <si>
    <t>2 Wraps</t>
  </si>
  <si>
    <t>SELECT CONFIGURATIONS</t>
  </si>
  <si>
    <t>Link</t>
  </si>
  <si>
    <t>FABRIC</t>
  </si>
  <si>
    <t>Per Kai, limit R8 to max 1.5" . Was up to RTEA7 (inclusive)</t>
  </si>
  <si>
    <t>Per Kai, compatible with RTEA5 &amp; RTEA6 (doable, but not perfect fit). Was only RTEA4</t>
  </si>
  <si>
    <t>1" (25mm) Tube</t>
  </si>
  <si>
    <t>1.125" (28mm) Tube</t>
  </si>
  <si>
    <t>1.25" (32mm) Tube</t>
  </si>
  <si>
    <t>1.5" (38mm) Tube</t>
  </si>
  <si>
    <t>2" (50mm) Tube</t>
  </si>
  <si>
    <t>2.5" (63mm) Tube</t>
  </si>
  <si>
    <t>3.25" (83mm) Tube</t>
  </si>
  <si>
    <t>HB16</t>
  </si>
  <si>
    <t>CUSTOM</t>
  </si>
  <si>
    <t>→</t>
  </si>
  <si>
    <t>Largo</t>
  </si>
  <si>
    <t>Espesor</t>
  </si>
  <si>
    <t>Perfil Inferior</t>
  </si>
  <si>
    <t>Contra Peso</t>
  </si>
  <si>
    <t>Comando</t>
  </si>
  <si>
    <t>Vueltas de Tejido en el tubo</t>
  </si>
  <si>
    <t>Entrada</t>
  </si>
  <si>
    <t>Ancho</t>
  </si>
  <si>
    <t>Peso de la Tela</t>
  </si>
  <si>
    <t>Número de Cortinas</t>
  </si>
  <si>
    <t>Peso de la cortina</t>
  </si>
  <si>
    <t>Peso total de la cortina</t>
  </si>
  <si>
    <t>Torque requerido en el enlace</t>
  </si>
  <si>
    <t>Enlace</t>
  </si>
  <si>
    <t>Torque de Accionamiento</t>
  </si>
  <si>
    <t>Compatibilidad del Sistema</t>
  </si>
  <si>
    <t>Torque</t>
  </si>
  <si>
    <t>TORQUE</t>
  </si>
  <si>
    <t>LINK 1 TORQUE</t>
  </si>
  <si>
    <t>LINK 2 TORQUE</t>
  </si>
  <si>
    <t>LINK 3 TORQUE</t>
  </si>
  <si>
    <t>LINK 4 TORQUE</t>
  </si>
  <si>
    <t>Torque de la Enlace 1</t>
  </si>
  <si>
    <t>Torque de la Enlace 2</t>
  </si>
  <si>
    <t>Torque de la Enlace 3</t>
  </si>
  <si>
    <t>Torque de la Enlace 4</t>
  </si>
  <si>
    <t>plastic bearing</t>
  </si>
  <si>
    <t>metal bearing</t>
  </si>
  <si>
    <t>uni-joint</t>
  </si>
  <si>
    <t>LANGUAGES IN DICTIONARY</t>
  </si>
  <si>
    <t>LANGUAGES FOR SELECTION</t>
  </si>
  <si>
    <t>1.5" tube, 20lbs per shade, 2 shade = 3.44 Nm. Round down to 3Nm. Set to 2Nm per Kai.</t>
  </si>
  <si>
    <t>NONE</t>
  </si>
  <si>
    <t>WRAPS</t>
  </si>
  <si>
    <t>INPUT FOLLOWING CUSTOM PARTS, IF REQUIRED</t>
  </si>
  <si>
    <t>Torque equerido por parte del control</t>
  </si>
  <si>
    <t>Was</t>
  </si>
  <si>
    <t>Torque requerido en el comando</t>
  </si>
  <si>
    <t>Seleccione Opciones</t>
  </si>
  <si>
    <t>Otro</t>
  </si>
  <si>
    <t>Ninguno</t>
  </si>
  <si>
    <t>Vueltas</t>
  </si>
  <si>
    <t>Opciones Adicionales</t>
  </si>
  <si>
    <t>Resumen del Sistema</t>
  </si>
  <si>
    <t>Control Compatible</t>
  </si>
  <si>
    <t>Motor Compatible</t>
  </si>
  <si>
    <t>Sistema Link Compatible</t>
  </si>
  <si>
    <t>Tubo</t>
  </si>
  <si>
    <t>Wraps</t>
  </si>
  <si>
    <t>↓Translated</t>
  </si>
  <si>
    <t>↓TRANSLATED</t>
  </si>
  <si>
    <t>Diametro del Rollo</t>
  </si>
  <si>
    <t>Espesor de la Tela</t>
  </si>
  <si>
    <t>Torque en el enlace</t>
  </si>
  <si>
    <t>Torque de la cortina</t>
  </si>
  <si>
    <t>Original Description</t>
  </si>
  <si>
    <t>CONTENTS ABOVE THIS LINE CURRENTLY NOT USED</t>
  </si>
  <si>
    <t>Custom Weight bar</t>
  </si>
  <si>
    <t>Personalizado</t>
  </si>
  <si>
    <t>Language_Translated</t>
  </si>
  <si>
    <t>NO CLUTCH COMPATIBLE</t>
  </si>
  <si>
    <t>NO MOTOR COMPATIBLE</t>
  </si>
  <si>
    <t>NO SYSTEM COMPATIBLE</t>
  </si>
  <si>
    <t>NO CONTROL COMPATIBLE</t>
  </si>
  <si>
    <t>NO SISTEMA COMPATIBLE</t>
  </si>
  <si>
    <t>NO WINDER COMPATIBLE</t>
  </si>
  <si>
    <t>Rev</t>
  </si>
  <si>
    <t>Date</t>
  </si>
  <si>
    <t>Changes</t>
  </si>
  <si>
    <t>By</t>
  </si>
  <si>
    <t>D. Chua</t>
  </si>
  <si>
    <t>► Display torque summary (CONTROL TORQUE REQUIREMENT &amp; LINK TORQUE REQUIREMENT) in Imperial &amp; Metric</t>
  </si>
  <si>
    <t>1.5</t>
  </si>
  <si>
    <t>REFERENCE</t>
  </si>
  <si>
    <t>Length</t>
  </si>
  <si>
    <t>Imperial - DP</t>
  </si>
  <si>
    <t>inch</t>
  </si>
  <si>
    <t>lb</t>
  </si>
  <si>
    <t>lbf-in</t>
  </si>
  <si>
    <t>oz/yd²</t>
  </si>
  <si>
    <t>Metric - DP</t>
  </si>
  <si>
    <t>Unit length</t>
  </si>
  <si>
    <t>lb/yd</t>
  </si>
  <si>
    <t>DP_Ctrl_Length</t>
  </si>
  <si>
    <t>DP_Ctrl_Weight</t>
  </si>
  <si>
    <t>DP_Ctrl_TORQUE</t>
  </si>
  <si>
    <t>DP_Ctrl_Fabric_Thickness</t>
  </si>
  <si>
    <t>DP_Ctrl_Fabric_Weight</t>
  </si>
  <si>
    <t>RANGE NAME</t>
  </si>
  <si>
    <t>► Revise displayed decimal places in Imperial &amp; Metric. See Reference</t>
  </si>
  <si>
    <t>1.6</t>
  </si>
  <si>
    <t>► Revise to IMPERIAL &amp; set Width = 60in, Drop = 80in per Kai/Lara</t>
  </si>
  <si>
    <t>Nota: Los resultados aquí arrojados sólo consideran torque, más no otros limitantes propios de los sistemas</t>
  </si>
  <si>
    <t>This considers torque only and not other system limitations</t>
  </si>
  <si>
    <t>Rollease Acmeda Torque Calculator</t>
  </si>
  <si>
    <t>1.7</t>
  </si>
  <si>
    <t>► Change name from Rollease Acmeda Link Calculator
► Added note &amp; spanish translation for: "This considers torque only and not other system limitations"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</si>
</sst>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_(* #,##0.00_);_(* \(#,##0.00\);_(* &quot;-&quot;??_);_(@_)"/>
    <numFmt numFmtId="166" formatCode="0.000"/>
    <numFmt numFmtId="167" formatCode="0.0000"/>
    <numFmt numFmtId="168" formatCode="0_ "/>
    <numFmt numFmtId="169" formatCode="0.000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7.7"/>
      <color theme="1"/>
      <name val="Calibri"/>
      <family val="2"/>
    </font>
    <font>
      <sz val="11"/>
      <color rgb="FF000000"/>
      <name val="Calibri"/>
      <family val="2"/>
    </font>
    <font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color rgb="FFFF000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z val="11"/>
      <color theme="1"/>
      <name val="Segoe UI"/>
      <family val="2"/>
    </font>
    <font>
      <sz val="9"/>
      <color rgb="FF000000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Segoe UI"/>
      <family val="2"/>
    </font>
    <font>
      <sz val="11"/>
      <color rgb="FFFF0000"/>
      <name val="Calibri"/>
      <family val="2"/>
    </font>
    <font>
      <sz val="11"/>
      <color rgb="FFFF0000"/>
      <name val="Segoe UI"/>
      <family val="2"/>
    </font>
    <font>
      <sz val="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</fills>
  <borders count="6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165" fontId="1" fillId="0" borderId="0" applyFont="0" applyFill="0" applyBorder="0" applyAlignment="0" applyProtection="0"/>
    <xf numFmtId="0" fontId="31" fillId="0" borderId="0"/>
    <xf numFmtId="0" fontId="1" fillId="0" borderId="0"/>
  </cellStyleXfs>
  <cellXfs count="854">
    <xf numFmtId="0" fontId="0" fillId="0" borderId="0" xfId="0"/>
    <xf numFmtId="0" fontId="3" fillId="3" borderId="0" xfId="0" applyFont="1" applyFill="1" applyBorder="1" applyProtection="1"/>
    <xf numFmtId="0" fontId="6" fillId="3" borderId="0" xfId="0" applyFont="1" applyFill="1" applyBorder="1" applyProtection="1"/>
    <xf numFmtId="0" fontId="7" fillId="5" borderId="0" xfId="0" applyFont="1" applyFill="1" applyBorder="1" applyProtection="1"/>
    <xf numFmtId="2" fontId="8" fillId="5" borderId="0" xfId="0" applyNumberFormat="1" applyFont="1" applyFill="1" applyBorder="1" applyAlignment="1" applyProtection="1">
      <alignment horizontal="left"/>
    </xf>
    <xf numFmtId="0" fontId="0" fillId="6" borderId="2" xfId="0" applyFill="1" applyBorder="1" applyAlignment="1">
      <alignment horizontal="center"/>
    </xf>
    <xf numFmtId="0" fontId="0" fillId="0" borderId="2" xfId="0" applyBorder="1"/>
    <xf numFmtId="0" fontId="0" fillId="7" borderId="3" xfId="0" applyFill="1" applyBorder="1"/>
    <xf numFmtId="0" fontId="0" fillId="0" borderId="4" xfId="0" applyBorder="1"/>
    <xf numFmtId="0" fontId="0" fillId="0" borderId="2" xfId="0" applyFill="1" applyBorder="1"/>
    <xf numFmtId="0" fontId="9" fillId="0" borderId="2" xfId="0" applyFont="1" applyBorder="1" applyAlignment="1">
      <alignment horizontal="center"/>
    </xf>
    <xf numFmtId="0" fontId="0" fillId="7" borderId="5" xfId="0" applyFill="1" applyBorder="1"/>
    <xf numFmtId="2" fontId="3" fillId="3" borderId="0" xfId="0" applyNumberFormat="1" applyFont="1" applyFill="1" applyBorder="1" applyAlignment="1" applyProtection="1">
      <alignment horizontal="left"/>
    </xf>
    <xf numFmtId="2" fontId="9" fillId="8" borderId="2" xfId="0" applyNumberFormat="1" applyFont="1" applyFill="1" applyBorder="1" applyAlignment="1" applyProtection="1">
      <alignment horizontal="center"/>
    </xf>
    <xf numFmtId="0" fontId="0" fillId="8" borderId="2" xfId="0" applyFill="1" applyBorder="1" applyAlignment="1" applyProtection="1">
      <alignment horizontal="center"/>
    </xf>
    <xf numFmtId="0" fontId="0" fillId="0" borderId="0" xfId="0" applyFill="1" applyBorder="1" applyAlignment="1" applyProtection="1"/>
    <xf numFmtId="0" fontId="0" fillId="0" borderId="0" xfId="0" applyProtection="1"/>
    <xf numFmtId="0" fontId="0" fillId="0" borderId="0" xfId="0" applyFill="1" applyBorder="1" applyProtection="1"/>
    <xf numFmtId="2" fontId="0" fillId="5" borderId="2" xfId="0" applyNumberFormat="1" applyFill="1" applyBorder="1" applyAlignment="1" applyProtection="1">
      <alignment horizontal="center"/>
    </xf>
    <xf numFmtId="0" fontId="10" fillId="0" borderId="6" xfId="0" applyFont="1" applyFill="1" applyBorder="1" applyAlignment="1" applyProtection="1"/>
    <xf numFmtId="0" fontId="10" fillId="0" borderId="0" xfId="0" applyFont="1" applyFill="1" applyBorder="1" applyAlignment="1" applyProtection="1"/>
    <xf numFmtId="0" fontId="5" fillId="0" borderId="2" xfId="0" applyFont="1" applyBorder="1" applyAlignment="1" applyProtection="1">
      <alignment horizontal="left"/>
    </xf>
    <xf numFmtId="11" fontId="0" fillId="0" borderId="2" xfId="0" applyNumberFormat="1" applyFont="1" applyBorder="1" applyAlignment="1" applyProtection="1">
      <alignment horizontal="center"/>
    </xf>
    <xf numFmtId="0" fontId="0" fillId="0" borderId="5" xfId="0" applyBorder="1" applyProtection="1"/>
    <xf numFmtId="0" fontId="11" fillId="0" borderId="0" xfId="0" applyFont="1" applyFill="1" applyProtection="1"/>
    <xf numFmtId="11" fontId="0" fillId="0" borderId="2" xfId="0" applyNumberFormat="1" applyBorder="1" applyAlignment="1" applyProtection="1">
      <alignment horizontal="center"/>
    </xf>
    <xf numFmtId="0" fontId="0" fillId="0" borderId="2" xfId="0" applyBorder="1" applyProtection="1"/>
    <xf numFmtId="0" fontId="5" fillId="0" borderId="0" xfId="0" applyFont="1" applyBorder="1" applyAlignment="1" applyProtection="1">
      <alignment horizontal="left"/>
    </xf>
    <xf numFmtId="11" fontId="0" fillId="0" borderId="0" xfId="0" applyNumberFormat="1" applyBorder="1" applyAlignment="1" applyProtection="1">
      <alignment horizontal="center"/>
    </xf>
    <xf numFmtId="0" fontId="0" fillId="0" borderId="0" xfId="0" applyBorder="1" applyProtection="1"/>
    <xf numFmtId="0" fontId="10" fillId="0" borderId="0" xfId="0" applyFont="1" applyFill="1" applyBorder="1" applyAlignment="1" applyProtection="1">
      <alignment horizontal="center" vertical="center"/>
    </xf>
    <xf numFmtId="0" fontId="5" fillId="10" borderId="2" xfId="0" applyFont="1" applyFill="1" applyBorder="1" applyAlignment="1" applyProtection="1">
      <alignment horizontal="center" vertical="center"/>
    </xf>
    <xf numFmtId="0" fontId="0" fillId="10" borderId="2" xfId="0" applyFont="1" applyFill="1" applyBorder="1" applyAlignment="1" applyProtection="1">
      <alignment horizontal="center" vertical="center"/>
    </xf>
    <xf numFmtId="0" fontId="5" fillId="10" borderId="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left" vertical="center"/>
    </xf>
    <xf numFmtId="164" fontId="0" fillId="0" borderId="2" xfId="0" applyNumberFormat="1" applyFill="1" applyBorder="1" applyAlignment="1" applyProtection="1">
      <alignment horizontal="center" vertical="center"/>
    </xf>
    <xf numFmtId="2" fontId="0" fillId="0" borderId="2" xfId="0" applyNumberFormat="1" applyFill="1" applyBorder="1" applyAlignment="1" applyProtection="1">
      <alignment horizontal="center" vertical="center"/>
    </xf>
    <xf numFmtId="1" fontId="0" fillId="0" borderId="2" xfId="0" applyNumberFormat="1" applyFill="1" applyBorder="1" applyAlignment="1" applyProtection="1">
      <alignment horizontal="center" vertical="center"/>
    </xf>
    <xf numFmtId="11" fontId="0" fillId="0" borderId="7" xfId="0" applyNumberFormat="1" applyFill="1" applyBorder="1" applyAlignment="1" applyProtection="1">
      <alignment horizontal="center" vertical="center"/>
    </xf>
    <xf numFmtId="164" fontId="0" fillId="0" borderId="2" xfId="3" applyNumberFormat="1" applyFont="1" applyFill="1" applyBorder="1" applyAlignment="1" applyProtection="1">
      <alignment horizontal="center" vertical="center"/>
    </xf>
    <xf numFmtId="11" fontId="0" fillId="0" borderId="0" xfId="0" applyNumberForma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center" vertical="center"/>
    </xf>
    <xf numFmtId="11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2" fontId="0" fillId="0" borderId="2" xfId="0" applyNumberFormat="1" applyFill="1" applyBorder="1" applyAlignment="1" applyProtection="1">
      <alignment horizontal="center"/>
    </xf>
    <xf numFmtId="1" fontId="0" fillId="0" borderId="2" xfId="0" applyNumberForma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left" vertical="center"/>
    </xf>
    <xf numFmtId="164" fontId="0" fillId="0" borderId="3" xfId="0" applyNumberFormat="1" applyFill="1" applyBorder="1" applyAlignment="1" applyProtection="1">
      <alignment horizontal="center" vertical="center"/>
    </xf>
    <xf numFmtId="2" fontId="0" fillId="0" borderId="3" xfId="0" applyNumberFormat="1" applyFill="1" applyBorder="1" applyAlignment="1" applyProtection="1">
      <alignment horizontal="center" vertical="center"/>
    </xf>
    <xf numFmtId="1" fontId="0" fillId="0" borderId="3" xfId="0" applyNumberFormat="1" applyFill="1" applyBorder="1" applyAlignment="1" applyProtection="1">
      <alignment horizontal="center" vertical="center"/>
    </xf>
    <xf numFmtId="11" fontId="0" fillId="0" borderId="9" xfId="0" applyNumberFormat="1" applyFill="1" applyBorder="1" applyAlignment="1" applyProtection="1">
      <alignment horizontal="center" vertical="center"/>
    </xf>
    <xf numFmtId="164" fontId="0" fillId="0" borderId="3" xfId="3" applyNumberFormat="1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14" fillId="0" borderId="10" xfId="0" applyFont="1" applyFill="1" applyBorder="1" applyAlignment="1" applyProtection="1">
      <alignment horizontal="center" vertical="center"/>
    </xf>
    <xf numFmtId="0" fontId="14" fillId="0" borderId="10" xfId="0" applyFont="1" applyFill="1" applyBorder="1" applyAlignment="1" applyProtection="1">
      <alignment horizontal="left" vertical="center"/>
    </xf>
    <xf numFmtId="164" fontId="14" fillId="0" borderId="10" xfId="0" applyNumberFormat="1" applyFont="1" applyBorder="1" applyAlignment="1" applyProtection="1">
      <alignment horizontal="center" vertical="center"/>
    </xf>
    <xf numFmtId="2" fontId="14" fillId="0" borderId="10" xfId="0" applyNumberFormat="1" applyFont="1" applyBorder="1" applyAlignment="1" applyProtection="1">
      <alignment horizontal="center" vertical="center"/>
    </xf>
    <xf numFmtId="1" fontId="14" fillId="0" borderId="10" xfId="0" applyNumberFormat="1" applyFont="1" applyBorder="1" applyAlignment="1" applyProtection="1">
      <alignment horizontal="center" vertical="center"/>
    </xf>
    <xf numFmtId="11" fontId="14" fillId="0" borderId="12" xfId="0" applyNumberFormat="1" applyFont="1" applyFill="1" applyBorder="1" applyAlignment="1" applyProtection="1">
      <alignment horizontal="center" vertical="center"/>
    </xf>
    <xf numFmtId="164" fontId="14" fillId="0" borderId="10" xfId="3" applyNumberFormat="1" applyFont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left" vertical="center"/>
    </xf>
    <xf numFmtId="164" fontId="14" fillId="0" borderId="2" xfId="0" applyNumberFormat="1" applyFont="1" applyBorder="1" applyAlignment="1" applyProtection="1">
      <alignment horizontal="center" vertical="center"/>
    </xf>
    <xf numFmtId="2" fontId="14" fillId="0" borderId="2" xfId="0" applyNumberFormat="1" applyFont="1" applyBorder="1" applyAlignment="1" applyProtection="1">
      <alignment horizontal="center" vertical="center"/>
    </xf>
    <xf numFmtId="1" fontId="14" fillId="0" borderId="2" xfId="0" applyNumberFormat="1" applyFont="1" applyBorder="1" applyAlignment="1" applyProtection="1">
      <alignment horizontal="center" vertical="center"/>
    </xf>
    <xf numFmtId="11" fontId="14" fillId="0" borderId="7" xfId="0" applyNumberFormat="1" applyFont="1" applyFill="1" applyBorder="1" applyAlignment="1" applyProtection="1">
      <alignment horizontal="center" vertical="center"/>
    </xf>
    <xf numFmtId="164" fontId="14" fillId="0" borderId="2" xfId="3" applyNumberFormat="1" applyFont="1" applyBorder="1" applyAlignment="1" applyProtection="1">
      <alignment horizontal="center" vertical="center"/>
    </xf>
    <xf numFmtId="2" fontId="14" fillId="0" borderId="2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 vertical="center"/>
    </xf>
    <xf numFmtId="164" fontId="0" fillId="0" borderId="0" xfId="0" applyNumberFormat="1" applyBorder="1" applyAlignment="1" applyProtection="1">
      <alignment horizontal="center" vertical="center"/>
    </xf>
    <xf numFmtId="2" fontId="15" fillId="0" borderId="0" xfId="0" applyNumberFormat="1" applyFont="1" applyFill="1" applyBorder="1" applyAlignment="1" applyProtection="1">
      <alignment horizontal="center" vertical="center"/>
    </xf>
    <xf numFmtId="1" fontId="0" fillId="0" borderId="0" xfId="0" applyNumberFormat="1" applyBorder="1" applyAlignment="1" applyProtection="1">
      <alignment horizontal="center" vertical="center"/>
    </xf>
    <xf numFmtId="11" fontId="0" fillId="0" borderId="0" xfId="0" applyNumberFormat="1" applyFill="1" applyBorder="1" applyAlignment="1" applyProtection="1">
      <alignment horizontal="center" vertical="center"/>
    </xf>
    <xf numFmtId="11" fontId="0" fillId="0" borderId="0" xfId="3" applyNumberFormat="1" applyFont="1" applyBorder="1" applyAlignment="1" applyProtection="1">
      <alignment horizontal="center" vertical="center"/>
    </xf>
    <xf numFmtId="2" fontId="0" fillId="0" borderId="0" xfId="0" applyNumberFormat="1" applyBorder="1" applyAlignment="1" applyProtection="1">
      <alignment horizontal="center" vertical="center"/>
    </xf>
    <xf numFmtId="0" fontId="5" fillId="7" borderId="2" xfId="0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 vertical="center"/>
    </xf>
    <xf numFmtId="0" fontId="5" fillId="12" borderId="2" xfId="0" applyFont="1" applyFill="1" applyBorder="1" applyAlignment="1" applyProtection="1">
      <alignment horizontal="center"/>
    </xf>
    <xf numFmtId="0" fontId="10" fillId="0" borderId="13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left" vertical="center"/>
    </xf>
    <xf numFmtId="2" fontId="10" fillId="0" borderId="2" xfId="0" applyNumberFormat="1" applyFont="1" applyFill="1" applyBorder="1" applyAlignment="1" applyProtection="1">
      <alignment horizontal="center"/>
    </xf>
    <xf numFmtId="0" fontId="17" fillId="0" borderId="2" xfId="0" applyFont="1" applyFill="1" applyBorder="1" applyAlignment="1" applyProtection="1">
      <alignment horizontal="center"/>
    </xf>
    <xf numFmtId="0" fontId="0" fillId="0" borderId="8" xfId="0" applyFill="1" applyBorder="1" applyAlignment="1">
      <alignment horizontal="center" vertical="center" textRotation="90"/>
    </xf>
    <xf numFmtId="0" fontId="0" fillId="0" borderId="2" xfId="0" applyFill="1" applyBorder="1" applyProtection="1"/>
    <xf numFmtId="0" fontId="10" fillId="0" borderId="2" xfId="0" applyFont="1" applyFill="1" applyBorder="1" applyAlignment="1" applyProtection="1">
      <alignment horizontal="left" vertical="center" wrapText="1"/>
    </xf>
    <xf numFmtId="2" fontId="10" fillId="0" borderId="2" xfId="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 applyProtection="1"/>
    <xf numFmtId="0" fontId="18" fillId="0" borderId="2" xfId="0" applyFont="1" applyFill="1" applyBorder="1" applyProtection="1"/>
    <xf numFmtId="0" fontId="10" fillId="0" borderId="14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horizontal="center" vertical="center"/>
    </xf>
    <xf numFmtId="2" fontId="0" fillId="0" borderId="3" xfId="0" applyNumberFormat="1" applyFont="1" applyFill="1" applyBorder="1" applyAlignment="1" applyProtection="1">
      <alignment horizontal="center"/>
    </xf>
    <xf numFmtId="0" fontId="17" fillId="0" borderId="3" xfId="0" applyFont="1" applyFill="1" applyBorder="1" applyAlignment="1" applyProtection="1">
      <alignment horizontal="center"/>
    </xf>
    <xf numFmtId="2" fontId="0" fillId="0" borderId="2" xfId="0" applyNumberFormat="1" applyFont="1" applyFill="1" applyBorder="1" applyAlignment="1" applyProtection="1">
      <alignment horizontal="center"/>
    </xf>
    <xf numFmtId="0" fontId="0" fillId="0" borderId="0" xfId="0" applyFill="1" applyBorder="1"/>
    <xf numFmtId="0" fontId="18" fillId="0" borderId="0" xfId="0" applyFont="1" applyFill="1" applyBorder="1" applyAlignment="1" applyProtection="1"/>
    <xf numFmtId="2" fontId="0" fillId="0" borderId="0" xfId="0" applyNumberFormat="1" applyFont="1" applyFill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0" fillId="0" borderId="16" xfId="0" applyBorder="1" applyProtection="1"/>
    <xf numFmtId="0" fontId="5" fillId="0" borderId="0" xfId="0" applyFont="1" applyFill="1" applyBorder="1" applyAlignment="1" applyProtection="1">
      <alignment horizontal="center"/>
    </xf>
    <xf numFmtId="0" fontId="12" fillId="5" borderId="2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</xf>
    <xf numFmtId="0" fontId="0" fillId="5" borderId="2" xfId="0" applyFill="1" applyBorder="1" applyProtection="1"/>
    <xf numFmtId="0" fontId="0" fillId="5" borderId="2" xfId="0" applyFill="1" applyBorder="1" applyAlignment="1" applyProtection="1">
      <alignment horizontal="center"/>
    </xf>
    <xf numFmtId="0" fontId="5" fillId="12" borderId="2" xfId="0" applyFont="1" applyFill="1" applyBorder="1" applyAlignment="1">
      <alignment horizontal="center"/>
    </xf>
    <xf numFmtId="0" fontId="0" fillId="13" borderId="2" xfId="0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66" fontId="0" fillId="5" borderId="2" xfId="0" applyNumberFormat="1" applyFill="1" applyBorder="1" applyAlignment="1" applyProtection="1">
      <alignment horizontal="center"/>
    </xf>
    <xf numFmtId="0" fontId="0" fillId="0" borderId="0" xfId="0" applyFill="1" applyProtection="1"/>
    <xf numFmtId="0" fontId="19" fillId="13" borderId="2" xfId="0" applyFont="1" applyFill="1" applyBorder="1" applyAlignment="1">
      <alignment horizontal="center"/>
    </xf>
    <xf numFmtId="0" fontId="5" fillId="13" borderId="2" xfId="0" applyFont="1" applyFill="1" applyBorder="1" applyAlignment="1">
      <alignment horizontal="center"/>
    </xf>
    <xf numFmtId="0" fontId="0" fillId="0" borderId="0" xfId="0" applyFill="1"/>
    <xf numFmtId="0" fontId="10" fillId="13" borderId="2" xfId="0" applyFont="1" applyFill="1" applyBorder="1" applyAlignment="1">
      <alignment horizontal="center" vertical="center"/>
    </xf>
    <xf numFmtId="0" fontId="19" fillId="0" borderId="0" xfId="0" applyFont="1" applyFill="1"/>
    <xf numFmtId="0" fontId="20" fillId="7" borderId="2" xfId="0" applyFont="1" applyFill="1" applyBorder="1" applyAlignment="1">
      <alignment horizontal="center" vertical="center"/>
    </xf>
    <xf numFmtId="0" fontId="21" fillId="0" borderId="7" xfId="0" applyFont="1" applyBorder="1" applyAlignment="1"/>
    <xf numFmtId="0" fontId="21" fillId="0" borderId="4" xfId="0" applyFont="1" applyBorder="1" applyAlignment="1"/>
    <xf numFmtId="0" fontId="22" fillId="0" borderId="4" xfId="0" applyFont="1" applyFill="1" applyBorder="1" applyAlignment="1">
      <alignment horizontal="center" vertical="center"/>
    </xf>
    <xf numFmtId="166" fontId="23" fillId="0" borderId="2" xfId="0" applyNumberFormat="1" applyFont="1" applyBorder="1" applyAlignment="1">
      <alignment horizontal="center" vertical="center"/>
    </xf>
    <xf numFmtId="0" fontId="21" fillId="0" borderId="6" xfId="0" applyFont="1" applyBorder="1" applyAlignment="1"/>
    <xf numFmtId="0" fontId="21" fillId="0" borderId="17" xfId="0" applyFont="1" applyBorder="1" applyAlignment="1"/>
    <xf numFmtId="0" fontId="22" fillId="0" borderId="0" xfId="0" applyFont="1" applyFill="1" applyBorder="1" applyAlignment="1">
      <alignment horizontal="left" vertical="center"/>
    </xf>
    <xf numFmtId="0" fontId="21" fillId="0" borderId="0" xfId="0" applyFont="1" applyFill="1" applyBorder="1"/>
    <xf numFmtId="166" fontId="23" fillId="0" borderId="0" xfId="0" applyNumberFormat="1" applyFont="1" applyFill="1" applyBorder="1" applyAlignment="1">
      <alignment horizontal="left" vertical="center"/>
    </xf>
    <xf numFmtId="0" fontId="21" fillId="7" borderId="5" xfId="0" applyFont="1" applyFill="1" applyBorder="1" applyAlignment="1">
      <alignment horizontal="left" vertical="center"/>
    </xf>
    <xf numFmtId="0" fontId="21" fillId="7" borderId="5" xfId="0" applyFont="1" applyFill="1" applyBorder="1"/>
    <xf numFmtId="166" fontId="21" fillId="7" borderId="5" xfId="0" applyNumberFormat="1" applyFont="1" applyFill="1" applyBorder="1" applyAlignment="1">
      <alignment horizontal="center" vertical="center"/>
    </xf>
    <xf numFmtId="0" fontId="21" fillId="7" borderId="5" xfId="0" applyFont="1" applyFill="1" applyBorder="1" applyAlignment="1">
      <alignment horizontal="center" vertical="center"/>
    </xf>
    <xf numFmtId="0" fontId="0" fillId="7" borderId="2" xfId="0" applyFill="1" applyBorder="1"/>
    <xf numFmtId="0" fontId="21" fillId="0" borderId="2" xfId="0" applyFont="1" applyFill="1" applyBorder="1" applyAlignment="1">
      <alignment horizontal="left" vertical="center"/>
    </xf>
    <xf numFmtId="0" fontId="0" fillId="0" borderId="2" xfId="0" applyFont="1" applyBorder="1"/>
    <xf numFmtId="164" fontId="21" fillId="15" borderId="2" xfId="0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1" fillId="15" borderId="2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left" vertical="center"/>
    </xf>
    <xf numFmtId="0" fontId="0" fillId="0" borderId="8" xfId="0" applyFont="1" applyBorder="1"/>
    <xf numFmtId="0" fontId="0" fillId="0" borderId="8" xfId="0" applyFont="1" applyFill="1" applyBorder="1" applyAlignment="1">
      <alignment horizontal="center"/>
    </xf>
    <xf numFmtId="0" fontId="21" fillId="15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21" fillId="0" borderId="10" xfId="0" applyFont="1" applyFill="1" applyBorder="1" applyAlignment="1">
      <alignment horizontal="left" vertical="center"/>
    </xf>
    <xf numFmtId="0" fontId="0" fillId="0" borderId="10" xfId="0" applyBorder="1"/>
    <xf numFmtId="0" fontId="0" fillId="0" borderId="10" xfId="0" applyFill="1" applyBorder="1" applyAlignment="1">
      <alignment horizontal="center"/>
    </xf>
    <xf numFmtId="0" fontId="21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1" fillId="0" borderId="2" xfId="0" applyFont="1" applyFill="1" applyBorder="1" applyAlignment="1">
      <alignment horizontal="center" vertical="center"/>
    </xf>
    <xf numFmtId="0" fontId="0" fillId="7" borderId="2" xfId="0" applyFont="1" applyFill="1" applyBorder="1" applyAlignment="1">
      <alignment horizontal="left" vertical="center"/>
    </xf>
    <xf numFmtId="0" fontId="0" fillId="7" borderId="2" xfId="0" applyFont="1" applyFill="1" applyBorder="1"/>
    <xf numFmtId="0" fontId="0" fillId="0" borderId="2" xfId="0" applyFont="1" applyBorder="1" applyAlignment="1">
      <alignment horizontal="center"/>
    </xf>
    <xf numFmtId="0" fontId="0" fillId="6" borderId="0" xfId="0" applyFill="1"/>
    <xf numFmtId="0" fontId="0" fillId="0" borderId="0" xfId="0" applyAlignment="1">
      <alignment horizontal="right"/>
    </xf>
    <xf numFmtId="9" fontId="0" fillId="0" borderId="0" xfId="0" applyNumberFormat="1"/>
    <xf numFmtId="9" fontId="0" fillId="16" borderId="0" xfId="1" applyFont="1" applyFill="1"/>
    <xf numFmtId="0" fontId="5" fillId="0" borderId="0" xfId="0" applyFont="1"/>
    <xf numFmtId="0" fontId="26" fillId="0" borderId="0" xfId="0" applyFont="1"/>
    <xf numFmtId="0" fontId="0" fillId="16" borderId="0" xfId="0" applyFill="1"/>
    <xf numFmtId="2" fontId="0" fillId="0" borderId="0" xfId="0" applyNumberFormat="1" applyAlignment="1">
      <alignment horizontal="center"/>
    </xf>
    <xf numFmtId="2" fontId="5" fillId="6" borderId="0" xfId="0" applyNumberFormat="1" applyFont="1" applyFill="1" applyAlignment="1">
      <alignment horizontal="center"/>
    </xf>
    <xf numFmtId="2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1" fillId="0" borderId="0" xfId="0" applyFont="1"/>
    <xf numFmtId="0" fontId="21" fillId="6" borderId="2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left" vertical="center"/>
    </xf>
    <xf numFmtId="0" fontId="21" fillId="0" borderId="2" xfId="0" applyFont="1" applyBorder="1" applyAlignment="1">
      <alignment vertical="center"/>
    </xf>
    <xf numFmtId="0" fontId="21" fillId="0" borderId="0" xfId="0" applyFont="1"/>
    <xf numFmtId="0" fontId="0" fillId="6" borderId="2" xfId="0" applyFill="1" applyBorder="1"/>
    <xf numFmtId="0" fontId="37" fillId="0" borderId="2" xfId="0" applyFont="1" applyBorder="1" applyAlignment="1">
      <alignment vertical="center"/>
    </xf>
    <xf numFmtId="0" fontId="0" fillId="0" borderId="2" xfId="0" applyBorder="1" applyAlignment="1">
      <alignment horizontal="left" indent="2"/>
    </xf>
    <xf numFmtId="0" fontId="0" fillId="0" borderId="2" xfId="0" applyBorder="1" applyAlignment="1">
      <alignment horizontal="left"/>
    </xf>
    <xf numFmtId="0" fontId="5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166" fontId="12" fillId="0" borderId="28" xfId="0" applyNumberFormat="1" applyFont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2" fontId="5" fillId="0" borderId="28" xfId="0" applyNumberFormat="1" applyFont="1" applyBorder="1" applyAlignment="1">
      <alignment horizontal="center" vertical="center" wrapText="1"/>
    </xf>
    <xf numFmtId="166" fontId="5" fillId="0" borderId="28" xfId="0" applyNumberFormat="1" applyFont="1" applyBorder="1" applyAlignment="1">
      <alignment horizontal="center" vertical="center" wrapText="1"/>
    </xf>
    <xf numFmtId="166" fontId="5" fillId="6" borderId="28" xfId="0" applyNumberFormat="1" applyFont="1" applyFill="1" applyBorder="1" applyAlignment="1">
      <alignment horizontal="center" vertical="center" wrapText="1"/>
    </xf>
    <xf numFmtId="166" fontId="5" fillId="22" borderId="28" xfId="0" applyNumberFormat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0" fillId="6" borderId="33" xfId="5" applyNumberFormat="1" applyFont="1" applyFill="1" applyBorder="1" applyAlignment="1">
      <alignment horizontal="left" vertical="center"/>
    </xf>
    <xf numFmtId="0" fontId="1" fillId="6" borderId="33" xfId="0" applyFont="1" applyFill="1" applyBorder="1" applyAlignment="1">
      <alignment horizontal="left" vertical="center"/>
    </xf>
    <xf numFmtId="0" fontId="1" fillId="20" borderId="33" xfId="0" applyFont="1" applyFill="1" applyBorder="1" applyAlignment="1">
      <alignment horizontal="left" vertical="center"/>
    </xf>
    <xf numFmtId="0" fontId="38" fillId="0" borderId="2" xfId="0" applyFont="1" applyBorder="1"/>
    <xf numFmtId="0" fontId="1" fillId="0" borderId="33" xfId="0" applyFont="1" applyFill="1" applyBorder="1" applyAlignment="1">
      <alignment vertical="center" wrapText="1"/>
    </xf>
    <xf numFmtId="0" fontId="10" fillId="0" borderId="33" xfId="5" applyNumberFormat="1" applyFont="1" applyFill="1" applyBorder="1" applyAlignment="1">
      <alignment horizontal="left" vertical="center"/>
    </xf>
    <xf numFmtId="0" fontId="10" fillId="0" borderId="33" xfId="5" applyNumberFormat="1" applyFont="1" applyFill="1" applyBorder="1" applyAlignment="1">
      <alignment horizontal="center" vertical="center"/>
    </xf>
    <xf numFmtId="166" fontId="10" fillId="0" borderId="33" xfId="5" applyNumberFormat="1" applyFont="1" applyFill="1" applyBorder="1" applyAlignment="1">
      <alignment horizontal="center" vertical="center"/>
    </xf>
    <xf numFmtId="0" fontId="10" fillId="6" borderId="33" xfId="5" applyNumberFormat="1" applyFont="1" applyFill="1" applyBorder="1" applyAlignment="1">
      <alignment horizontal="center" vertical="center"/>
    </xf>
    <xf numFmtId="2" fontId="1" fillId="0" borderId="33" xfId="0" applyNumberFormat="1" applyFont="1" applyBorder="1" applyAlignment="1">
      <alignment horizontal="center" vertical="center"/>
    </xf>
    <xf numFmtId="166" fontId="1" fillId="6" borderId="33" xfId="0" applyNumberFormat="1" applyFont="1" applyFill="1" applyBorder="1" applyAlignment="1">
      <alignment horizontal="center" vertical="center"/>
    </xf>
    <xf numFmtId="0" fontId="10" fillId="6" borderId="2" xfId="5" applyNumberFormat="1" applyFont="1" applyFill="1" applyBorder="1" applyAlignment="1">
      <alignment horizontal="center" vertical="center"/>
    </xf>
    <xf numFmtId="166" fontId="1" fillId="0" borderId="33" xfId="0" applyNumberFormat="1" applyFont="1" applyBorder="1" applyAlignment="1">
      <alignment horizontal="center" vertical="center"/>
    </xf>
    <xf numFmtId="166" fontId="1" fillId="20" borderId="33" xfId="0" applyNumberFormat="1" applyFont="1" applyFill="1" applyBorder="1" applyAlignment="1">
      <alignment horizontal="center" vertical="center"/>
    </xf>
    <xf numFmtId="168" fontId="1" fillId="6" borderId="33" xfId="0" applyNumberFormat="1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166" fontId="1" fillId="22" borderId="33" xfId="0" applyNumberFormat="1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2" borderId="5" xfId="0" applyFont="1" applyFill="1" applyBorder="1" applyAlignment="1">
      <alignment horizontal="center" vertical="center"/>
    </xf>
    <xf numFmtId="0" fontId="1" fillId="22" borderId="26" xfId="0" applyFont="1" applyFill="1" applyBorder="1" applyAlignment="1">
      <alignment horizontal="center" vertical="center"/>
    </xf>
    <xf numFmtId="0" fontId="1" fillId="22" borderId="34" xfId="0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10" fillId="6" borderId="2" xfId="5" applyNumberFormat="1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0" fontId="1" fillId="2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 wrapText="1"/>
    </xf>
    <xf numFmtId="0" fontId="10" fillId="0" borderId="2" xfId="5" applyNumberFormat="1" applyFont="1" applyFill="1" applyBorder="1" applyAlignment="1">
      <alignment horizontal="left" vertical="center"/>
    </xf>
    <xf numFmtId="0" fontId="10" fillId="0" borderId="2" xfId="5" applyNumberFormat="1" applyFont="1" applyFill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166" fontId="1" fillId="6" borderId="2" xfId="0" applyNumberFormat="1" applyFont="1" applyFill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/>
    </xf>
    <xf numFmtId="166" fontId="1" fillId="20" borderId="2" xfId="0" applyNumberFormat="1" applyFont="1" applyFill="1" applyBorder="1" applyAlignment="1">
      <alignment horizontal="center" vertical="center"/>
    </xf>
    <xf numFmtId="166" fontId="1" fillId="20" borderId="5" xfId="0" applyNumberFormat="1" applyFont="1" applyFill="1" applyBorder="1" applyAlignment="1">
      <alignment horizontal="center" vertical="center"/>
    </xf>
    <xf numFmtId="168" fontId="1" fillId="6" borderId="2" xfId="0" applyNumberFormat="1" applyFont="1" applyFill="1" applyBorder="1" applyAlignment="1">
      <alignment horizontal="center" vertical="center"/>
    </xf>
    <xf numFmtId="166" fontId="1" fillId="2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4" borderId="35" xfId="0" applyFont="1" applyFill="1" applyBorder="1" applyAlignment="1">
      <alignment horizontal="center" vertical="center"/>
    </xf>
    <xf numFmtId="0" fontId="10" fillId="24" borderId="2" xfId="5" applyNumberFormat="1" applyFont="1" applyFill="1" applyBorder="1" applyAlignment="1">
      <alignment horizontal="left" vertical="center"/>
    </xf>
    <xf numFmtId="0" fontId="1" fillId="24" borderId="2" xfId="0" applyFont="1" applyFill="1" applyBorder="1" applyAlignment="1">
      <alignment horizontal="left" vertical="center"/>
    </xf>
    <xf numFmtId="0" fontId="1" fillId="24" borderId="2" xfId="0" applyFont="1" applyFill="1" applyBorder="1" applyAlignment="1">
      <alignment vertical="center" wrapText="1"/>
    </xf>
    <xf numFmtId="0" fontId="10" fillId="24" borderId="2" xfId="5" applyNumberFormat="1" applyFont="1" applyFill="1" applyBorder="1" applyAlignment="1">
      <alignment horizontal="center" vertical="center"/>
    </xf>
    <xf numFmtId="2" fontId="1" fillId="24" borderId="2" xfId="0" applyNumberFormat="1" applyFont="1" applyFill="1" applyBorder="1" applyAlignment="1">
      <alignment horizontal="center" vertical="center"/>
    </xf>
    <xf numFmtId="166" fontId="1" fillId="24" borderId="2" xfId="0" applyNumberFormat="1" applyFont="1" applyFill="1" applyBorder="1" applyAlignment="1">
      <alignment horizontal="center" vertical="center"/>
    </xf>
    <xf numFmtId="168" fontId="1" fillId="24" borderId="2" xfId="0" applyNumberFormat="1" applyFont="1" applyFill="1" applyBorder="1" applyAlignment="1">
      <alignment horizontal="center" vertical="center"/>
    </xf>
    <xf numFmtId="0" fontId="1" fillId="24" borderId="2" xfId="0" applyFont="1" applyFill="1" applyBorder="1" applyAlignment="1">
      <alignment horizontal="center" vertical="center"/>
    </xf>
    <xf numFmtId="0" fontId="1" fillId="24" borderId="5" xfId="0" applyFont="1" applyFill="1" applyBorder="1" applyAlignment="1">
      <alignment horizontal="center" vertical="center"/>
    </xf>
    <xf numFmtId="0" fontId="1" fillId="24" borderId="7" xfId="0" applyFont="1" applyFill="1" applyBorder="1" applyAlignment="1">
      <alignment horizontal="center" vertical="center"/>
    </xf>
    <xf numFmtId="0" fontId="1" fillId="24" borderId="36" xfId="0" applyFont="1" applyFill="1" applyBorder="1" applyAlignment="1">
      <alignment horizontal="center" vertical="center"/>
    </xf>
    <xf numFmtId="0" fontId="1" fillId="24" borderId="0" xfId="0" applyFont="1" applyFill="1" applyAlignment="1">
      <alignment vertical="center"/>
    </xf>
    <xf numFmtId="0" fontId="38" fillId="24" borderId="2" xfId="0" applyFont="1" applyFill="1" applyBorder="1"/>
    <xf numFmtId="0" fontId="1" fillId="0" borderId="3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22" borderId="2" xfId="0" applyFont="1" applyFill="1" applyBorder="1" applyAlignment="1">
      <alignment horizontal="center" vertical="center"/>
    </xf>
    <xf numFmtId="0" fontId="1" fillId="22" borderId="7" xfId="0" applyFont="1" applyFill="1" applyBorder="1" applyAlignment="1">
      <alignment horizontal="center" vertical="center"/>
    </xf>
    <xf numFmtId="0" fontId="1" fillId="22" borderId="36" xfId="0" applyFont="1" applyFill="1" applyBorder="1" applyAlignment="1">
      <alignment horizontal="center" vertical="center"/>
    </xf>
    <xf numFmtId="0" fontId="1" fillId="24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19" borderId="35" xfId="0" applyFont="1" applyFill="1" applyBorder="1" applyAlignment="1">
      <alignment horizontal="center" vertical="center"/>
    </xf>
    <xf numFmtId="0" fontId="10" fillId="19" borderId="2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19" borderId="2" xfId="0" applyFont="1" applyFill="1" applyBorder="1" applyAlignment="1">
      <alignment horizontal="left" vertical="center" wrapText="1"/>
    </xf>
    <xf numFmtId="0" fontId="10" fillId="19" borderId="2" xfId="5" applyNumberFormat="1" applyFont="1" applyFill="1" applyBorder="1" applyAlignment="1">
      <alignment horizontal="left" vertical="center"/>
    </xf>
    <xf numFmtId="0" fontId="10" fillId="19" borderId="2" xfId="5" applyNumberFormat="1" applyFont="1" applyFill="1" applyBorder="1" applyAlignment="1">
      <alignment horizontal="center" vertical="center"/>
    </xf>
    <xf numFmtId="166" fontId="10" fillId="19" borderId="2" xfId="5" applyNumberFormat="1" applyFont="1" applyFill="1" applyBorder="1" applyAlignment="1">
      <alignment horizontal="center" vertical="center"/>
    </xf>
    <xf numFmtId="2" fontId="1" fillId="19" borderId="2" xfId="0" applyNumberFormat="1" applyFont="1" applyFill="1" applyBorder="1" applyAlignment="1">
      <alignment horizontal="center" vertical="center"/>
    </xf>
    <xf numFmtId="166" fontId="1" fillId="19" borderId="2" xfId="0" applyNumberFormat="1" applyFont="1" applyFill="1" applyBorder="1" applyAlignment="1">
      <alignment horizontal="center" vertical="center"/>
    </xf>
    <xf numFmtId="0" fontId="1" fillId="19" borderId="2" xfId="0" applyFont="1" applyFill="1" applyBorder="1" applyAlignment="1">
      <alignment horizontal="center" vertical="center"/>
    </xf>
    <xf numFmtId="0" fontId="1" fillId="19" borderId="2" xfId="0" applyFont="1" applyFill="1" applyBorder="1" applyAlignment="1">
      <alignment horizontal="center" vertical="center" wrapText="1"/>
    </xf>
    <xf numFmtId="0" fontId="1" fillId="19" borderId="5" xfId="0" applyFont="1" applyFill="1" applyBorder="1" applyAlignment="1">
      <alignment horizontal="center" vertical="center"/>
    </xf>
    <xf numFmtId="0" fontId="1" fillId="19" borderId="7" xfId="0" applyFont="1" applyFill="1" applyBorder="1" applyAlignment="1">
      <alignment horizontal="center" vertical="center"/>
    </xf>
    <xf numFmtId="0" fontId="1" fillId="19" borderId="36" xfId="0" applyFont="1" applyFill="1" applyBorder="1" applyAlignment="1">
      <alignment horizontal="center" vertical="center"/>
    </xf>
    <xf numFmtId="0" fontId="1" fillId="19" borderId="0" xfId="0" applyFont="1" applyFill="1" applyAlignment="1">
      <alignment vertical="center"/>
    </xf>
    <xf numFmtId="0" fontId="1" fillId="25" borderId="35" xfId="0" applyFont="1" applyFill="1" applyBorder="1" applyAlignment="1">
      <alignment horizontal="center" vertical="center"/>
    </xf>
    <xf numFmtId="0" fontId="10" fillId="25" borderId="2" xfId="0" applyFont="1" applyFill="1" applyBorder="1" applyAlignment="1">
      <alignment horizontal="left" vertical="center" wrapText="1"/>
    </xf>
    <xf numFmtId="0" fontId="1" fillId="25" borderId="2" xfId="0" applyFont="1" applyFill="1" applyBorder="1" applyAlignment="1">
      <alignment horizontal="left" vertical="center" wrapText="1"/>
    </xf>
    <xf numFmtId="0" fontId="1" fillId="25" borderId="2" xfId="0" applyFont="1" applyFill="1" applyBorder="1" applyAlignment="1">
      <alignment horizontal="left" vertical="center"/>
    </xf>
    <xf numFmtId="0" fontId="38" fillId="25" borderId="2" xfId="0" applyFont="1" applyFill="1" applyBorder="1"/>
    <xf numFmtId="0" fontId="10" fillId="25" borderId="2" xfId="5" applyNumberFormat="1" applyFont="1" applyFill="1" applyBorder="1" applyAlignment="1">
      <alignment horizontal="left" vertical="center"/>
    </xf>
    <xf numFmtId="0" fontId="10" fillId="25" borderId="2" xfId="5" applyNumberFormat="1" applyFont="1" applyFill="1" applyBorder="1" applyAlignment="1">
      <alignment horizontal="center" vertical="center"/>
    </xf>
    <xf numFmtId="166" fontId="10" fillId="25" borderId="2" xfId="5" applyNumberFormat="1" applyFont="1" applyFill="1" applyBorder="1" applyAlignment="1">
      <alignment horizontal="center" vertical="center"/>
    </xf>
    <xf numFmtId="2" fontId="1" fillId="25" borderId="2" xfId="0" applyNumberFormat="1" applyFont="1" applyFill="1" applyBorder="1" applyAlignment="1">
      <alignment horizontal="center" vertical="center"/>
    </xf>
    <xf numFmtId="166" fontId="1" fillId="25" borderId="2" xfId="0" applyNumberFormat="1" applyFont="1" applyFill="1" applyBorder="1" applyAlignment="1">
      <alignment horizontal="center" vertical="center"/>
    </xf>
    <xf numFmtId="168" fontId="1" fillId="25" borderId="2" xfId="0" applyNumberFormat="1" applyFont="1" applyFill="1" applyBorder="1" applyAlignment="1">
      <alignment horizontal="center" vertical="center"/>
    </xf>
    <xf numFmtId="0" fontId="1" fillId="25" borderId="2" xfId="0" applyFont="1" applyFill="1" applyBorder="1" applyAlignment="1">
      <alignment horizontal="center" vertical="center"/>
    </xf>
    <xf numFmtId="0" fontId="1" fillId="25" borderId="2" xfId="0" applyFont="1" applyFill="1" applyBorder="1" applyAlignment="1">
      <alignment horizontal="center" vertical="center" wrapText="1"/>
    </xf>
    <xf numFmtId="0" fontId="1" fillId="25" borderId="5" xfId="0" applyFont="1" applyFill="1" applyBorder="1" applyAlignment="1">
      <alignment horizontal="center" vertical="center"/>
    </xf>
    <xf numFmtId="0" fontId="1" fillId="25" borderId="7" xfId="0" applyFont="1" applyFill="1" applyBorder="1" applyAlignment="1">
      <alignment horizontal="center" vertical="center"/>
    </xf>
    <xf numFmtId="0" fontId="1" fillId="25" borderId="36" xfId="0" applyFont="1" applyFill="1" applyBorder="1" applyAlignment="1">
      <alignment horizontal="center" vertical="center"/>
    </xf>
    <xf numFmtId="0" fontId="1" fillId="25" borderId="0" xfId="0" applyFont="1" applyFill="1" applyAlignment="1">
      <alignment vertical="center"/>
    </xf>
    <xf numFmtId="0" fontId="1" fillId="20" borderId="2" xfId="0" applyFont="1" applyFill="1" applyBorder="1" applyAlignment="1">
      <alignment horizontal="left" vertical="center" wrapText="1"/>
    </xf>
    <xf numFmtId="0" fontId="1" fillId="22" borderId="35" xfId="0" applyFont="1" applyFill="1" applyBorder="1" applyAlignment="1">
      <alignment horizontal="center" vertical="center"/>
    </xf>
    <xf numFmtId="0" fontId="10" fillId="22" borderId="2" xfId="0" applyFont="1" applyFill="1" applyBorder="1" applyAlignment="1">
      <alignment horizontal="left" vertical="center"/>
    </xf>
    <xf numFmtId="0" fontId="1" fillId="22" borderId="2" xfId="0" applyFont="1" applyFill="1" applyBorder="1" applyAlignment="1">
      <alignment horizontal="left" vertical="center"/>
    </xf>
    <xf numFmtId="0" fontId="10" fillId="22" borderId="2" xfId="0" applyFont="1" applyFill="1" applyBorder="1" applyAlignment="1">
      <alignment horizontal="center" vertical="center"/>
    </xf>
    <xf numFmtId="166" fontId="10" fillId="22" borderId="2" xfId="0" applyNumberFormat="1" applyFont="1" applyFill="1" applyBorder="1" applyAlignment="1">
      <alignment horizontal="center" vertical="center"/>
    </xf>
    <xf numFmtId="2" fontId="1" fillId="22" borderId="2" xfId="0" applyNumberFormat="1" applyFont="1" applyFill="1" applyBorder="1" applyAlignment="1">
      <alignment horizontal="center" vertical="center"/>
    </xf>
    <xf numFmtId="168" fontId="1" fillId="22" borderId="2" xfId="0" applyNumberFormat="1" applyFont="1" applyFill="1" applyBorder="1" applyAlignment="1">
      <alignment horizontal="center" vertical="center"/>
    </xf>
    <xf numFmtId="0" fontId="1" fillId="22" borderId="2" xfId="0" applyFont="1" applyFill="1" applyBorder="1" applyAlignment="1">
      <alignment horizontal="center" wrapText="1"/>
    </xf>
    <xf numFmtId="0" fontId="1" fillId="0" borderId="0" xfId="0" applyFont="1"/>
    <xf numFmtId="0" fontId="10" fillId="6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wrapText="1"/>
    </xf>
    <xf numFmtId="2" fontId="1" fillId="6" borderId="2" xfId="0" applyNumberFormat="1" applyFont="1" applyFill="1" applyBorder="1" applyAlignment="1">
      <alignment horizontal="center" vertical="center"/>
    </xf>
    <xf numFmtId="0" fontId="10" fillId="24" borderId="2" xfId="0" applyFont="1" applyFill="1" applyBorder="1" applyAlignment="1">
      <alignment horizontal="left" vertical="center"/>
    </xf>
    <xf numFmtId="0" fontId="10" fillId="24" borderId="2" xfId="0" applyFont="1" applyFill="1" applyBorder="1" applyAlignment="1">
      <alignment horizontal="left" vertical="center" wrapText="1"/>
    </xf>
    <xf numFmtId="0" fontId="1" fillId="24" borderId="2" xfId="0" applyFont="1" applyFill="1" applyBorder="1" applyAlignment="1">
      <alignment horizontal="center" wrapText="1"/>
    </xf>
    <xf numFmtId="0" fontId="1" fillId="24" borderId="0" xfId="0" applyFont="1" applyFill="1"/>
    <xf numFmtId="0" fontId="10" fillId="24" borderId="3" xfId="5" applyNumberFormat="1" applyFont="1" applyFill="1" applyBorder="1" applyAlignment="1">
      <alignment horizontal="left" vertical="center"/>
    </xf>
    <xf numFmtId="0" fontId="10" fillId="24" borderId="15" xfId="5" applyNumberFormat="1" applyFont="1" applyFill="1" applyBorder="1" applyAlignment="1">
      <alignment horizontal="left" vertical="center"/>
    </xf>
    <xf numFmtId="0" fontId="10" fillId="24" borderId="15" xfId="0" applyFont="1" applyFill="1" applyBorder="1" applyAlignment="1">
      <alignment horizontal="left" vertical="center"/>
    </xf>
    <xf numFmtId="0" fontId="1" fillId="24" borderId="15" xfId="0" applyFont="1" applyFill="1" applyBorder="1" applyAlignment="1">
      <alignment horizontal="left" vertical="center"/>
    </xf>
    <xf numFmtId="0" fontId="10" fillId="24" borderId="3" xfId="0" applyFont="1" applyFill="1" applyBorder="1" applyAlignment="1">
      <alignment horizontal="left" vertical="center" wrapText="1"/>
    </xf>
    <xf numFmtId="0" fontId="10" fillId="24" borderId="15" xfId="5" applyNumberFormat="1" applyFont="1" applyFill="1" applyBorder="1" applyAlignment="1">
      <alignment horizontal="center" vertical="center"/>
    </xf>
    <xf numFmtId="2" fontId="1" fillId="24" borderId="15" xfId="0" applyNumberFormat="1" applyFont="1" applyFill="1" applyBorder="1" applyAlignment="1">
      <alignment horizontal="center" vertical="center"/>
    </xf>
    <xf numFmtId="166" fontId="1" fillId="24" borderId="15" xfId="0" applyNumberFormat="1" applyFont="1" applyFill="1" applyBorder="1" applyAlignment="1">
      <alignment horizontal="center" vertical="center"/>
    </xf>
    <xf numFmtId="0" fontId="1" fillId="24" borderId="15" xfId="0" applyFont="1" applyFill="1" applyBorder="1" applyAlignment="1">
      <alignment horizontal="center" vertical="center"/>
    </xf>
    <xf numFmtId="0" fontId="1" fillId="24" borderId="3" xfId="0" applyFont="1" applyFill="1" applyBorder="1" applyAlignment="1">
      <alignment horizontal="center" vertical="center"/>
    </xf>
    <xf numFmtId="2" fontId="1" fillId="24" borderId="3" xfId="0" applyNumberFormat="1" applyFont="1" applyFill="1" applyBorder="1" applyAlignment="1">
      <alignment horizontal="center" vertical="center"/>
    </xf>
    <xf numFmtId="0" fontId="1" fillId="24" borderId="9" xfId="0" applyFont="1" applyFill="1" applyBorder="1" applyAlignment="1">
      <alignment horizontal="center" vertical="center"/>
    </xf>
    <xf numFmtId="0" fontId="1" fillId="24" borderId="37" xfId="0" applyFont="1" applyFill="1" applyBorder="1" applyAlignment="1">
      <alignment horizontal="center" vertical="center"/>
    </xf>
    <xf numFmtId="0" fontId="10" fillId="24" borderId="3" xfId="5" applyNumberFormat="1" applyFont="1" applyFill="1" applyBorder="1" applyAlignment="1">
      <alignment horizontal="center" vertical="center"/>
    </xf>
    <xf numFmtId="166" fontId="1" fillId="24" borderId="3" xfId="0" applyNumberFormat="1" applyFont="1" applyFill="1" applyBorder="1" applyAlignment="1">
      <alignment horizontal="center" vertical="center"/>
    </xf>
    <xf numFmtId="0" fontId="1" fillId="24" borderId="3" xfId="0" applyFont="1" applyFill="1" applyBorder="1" applyAlignment="1">
      <alignment horizontal="center" wrapText="1"/>
    </xf>
    <xf numFmtId="0" fontId="1" fillId="22" borderId="15" xfId="0" applyFont="1" applyFill="1" applyBorder="1" applyAlignment="1">
      <alignment horizontal="center" vertical="center"/>
    </xf>
    <xf numFmtId="0" fontId="10" fillId="22" borderId="3" xfId="5" applyNumberFormat="1" applyFont="1" applyFill="1" applyBorder="1" applyAlignment="1">
      <alignment horizontal="left" vertical="center"/>
    </xf>
    <xf numFmtId="0" fontId="10" fillId="22" borderId="15" xfId="5" applyNumberFormat="1" applyFont="1" applyFill="1" applyBorder="1" applyAlignment="1">
      <alignment horizontal="left" vertical="center"/>
    </xf>
    <xf numFmtId="0" fontId="10" fillId="22" borderId="15" xfId="0" applyFont="1" applyFill="1" applyBorder="1" applyAlignment="1">
      <alignment horizontal="left" vertical="center"/>
    </xf>
    <xf numFmtId="0" fontId="10" fillId="22" borderId="3" xfId="0" applyFont="1" applyFill="1" applyBorder="1" applyAlignment="1">
      <alignment horizontal="left" vertical="center" wrapText="1"/>
    </xf>
    <xf numFmtId="0" fontId="10" fillId="22" borderId="15" xfId="5" applyNumberFormat="1" applyFont="1" applyFill="1" applyBorder="1" applyAlignment="1">
      <alignment horizontal="center" vertical="center"/>
    </xf>
    <xf numFmtId="166" fontId="10" fillId="22" borderId="15" xfId="5" applyNumberFormat="1" applyFont="1" applyFill="1" applyBorder="1" applyAlignment="1">
      <alignment horizontal="center" vertical="center"/>
    </xf>
    <xf numFmtId="0" fontId="10" fillId="22" borderId="3" xfId="5" applyNumberFormat="1" applyFont="1" applyFill="1" applyBorder="1" applyAlignment="1">
      <alignment horizontal="center" vertical="center"/>
    </xf>
    <xf numFmtId="2" fontId="1" fillId="22" borderId="15" xfId="0" applyNumberFormat="1" applyFont="1" applyFill="1" applyBorder="1" applyAlignment="1">
      <alignment horizontal="center" vertical="center"/>
    </xf>
    <xf numFmtId="166" fontId="1" fillId="22" borderId="15" xfId="0" applyNumberFormat="1" applyFont="1" applyFill="1" applyBorder="1" applyAlignment="1">
      <alignment horizontal="center" vertical="center"/>
    </xf>
    <xf numFmtId="166" fontId="1" fillId="22" borderId="3" xfId="0" applyNumberFormat="1" applyFont="1" applyFill="1" applyBorder="1" applyAlignment="1">
      <alignment horizontal="center" vertical="center"/>
    </xf>
    <xf numFmtId="0" fontId="1" fillId="22" borderId="3" xfId="0" applyFont="1" applyFill="1" applyBorder="1" applyAlignment="1">
      <alignment horizontal="center" vertical="center"/>
    </xf>
    <xf numFmtId="2" fontId="1" fillId="22" borderId="3" xfId="0" applyNumberFormat="1" applyFont="1" applyFill="1" applyBorder="1" applyAlignment="1">
      <alignment horizontal="center" vertical="center"/>
    </xf>
    <xf numFmtId="0" fontId="1" fillId="22" borderId="3" xfId="0" applyFont="1" applyFill="1" applyBorder="1" applyAlignment="1">
      <alignment horizontal="center" wrapText="1"/>
    </xf>
    <xf numFmtId="0" fontId="1" fillId="22" borderId="9" xfId="0" applyFont="1" applyFill="1" applyBorder="1" applyAlignment="1">
      <alignment horizontal="center" vertical="center"/>
    </xf>
    <xf numFmtId="0" fontId="1" fillId="22" borderId="0" xfId="0" applyFont="1" applyFill="1"/>
    <xf numFmtId="0" fontId="10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166" fontId="1" fillId="6" borderId="3" xfId="0" applyNumberFormat="1" applyFont="1" applyFill="1" applyBorder="1" applyAlignment="1">
      <alignment horizontal="center" vertical="center"/>
    </xf>
    <xf numFmtId="0" fontId="1" fillId="0" borderId="38" xfId="0" applyFont="1" applyBorder="1"/>
    <xf numFmtId="0" fontId="1" fillId="26" borderId="2" xfId="0" applyFont="1" applyFill="1" applyBorder="1" applyAlignment="1">
      <alignment horizontal="center" vertical="center"/>
    </xf>
    <xf numFmtId="0" fontId="10" fillId="26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4" fillId="20" borderId="2" xfId="0" applyFont="1" applyFill="1" applyBorder="1" applyAlignment="1">
      <alignment horizontal="left" vertical="center"/>
    </xf>
    <xf numFmtId="0" fontId="1" fillId="26" borderId="2" xfId="0" applyFont="1" applyFill="1" applyBorder="1" applyAlignment="1">
      <alignment horizontal="left" vertical="center"/>
    </xf>
    <xf numFmtId="0" fontId="10" fillId="26" borderId="2" xfId="0" applyFont="1" applyFill="1" applyBorder="1" applyAlignment="1">
      <alignment horizontal="center" vertical="center"/>
    </xf>
    <xf numFmtId="2" fontId="1" fillId="26" borderId="2" xfId="0" applyNumberFormat="1" applyFont="1" applyFill="1" applyBorder="1" applyAlignment="1">
      <alignment horizontal="center" vertical="center"/>
    </xf>
    <xf numFmtId="166" fontId="1" fillId="26" borderId="2" xfId="0" applyNumberFormat="1" applyFont="1" applyFill="1" applyBorder="1" applyAlignment="1">
      <alignment horizontal="center" vertical="center"/>
    </xf>
    <xf numFmtId="0" fontId="1" fillId="26" borderId="0" xfId="0" applyFont="1" applyFill="1"/>
    <xf numFmtId="49" fontId="10" fillId="26" borderId="2" xfId="0" applyNumberFormat="1" applyFont="1" applyFill="1" applyBorder="1"/>
    <xf numFmtId="49" fontId="10" fillId="26" borderId="2" xfId="0" applyNumberFormat="1" applyFont="1" applyFill="1" applyBorder="1" applyAlignment="1">
      <alignment horizontal="left"/>
    </xf>
    <xf numFmtId="0" fontId="10" fillId="26" borderId="2" xfId="5" applyNumberFormat="1" applyFont="1" applyFill="1" applyBorder="1" applyAlignment="1">
      <alignment horizontal="left" vertical="center"/>
    </xf>
    <xf numFmtId="49" fontId="10" fillId="6" borderId="2" xfId="0" applyNumberFormat="1" applyFont="1" applyFill="1" applyBorder="1"/>
    <xf numFmtId="49" fontId="4" fillId="6" borderId="2" xfId="0" applyNumberFormat="1" applyFont="1" applyFill="1" applyBorder="1"/>
    <xf numFmtId="49" fontId="4" fillId="20" borderId="2" xfId="0" applyNumberFormat="1" applyFont="1" applyFill="1" applyBorder="1"/>
    <xf numFmtId="49" fontId="1" fillId="26" borderId="2" xfId="0" applyNumberFormat="1" applyFont="1" applyFill="1" applyBorder="1"/>
    <xf numFmtId="49" fontId="10" fillId="27" borderId="2" xfId="0" applyNumberFormat="1" applyFont="1" applyFill="1" applyBorder="1"/>
    <xf numFmtId="49" fontId="10" fillId="28" borderId="2" xfId="0" applyNumberFormat="1" applyFont="1" applyFill="1" applyBorder="1"/>
    <xf numFmtId="49" fontId="4" fillId="28" borderId="2" xfId="0" applyNumberFormat="1" applyFont="1" applyFill="1" applyBorder="1"/>
    <xf numFmtId="0" fontId="1" fillId="29" borderId="2" xfId="0" applyFont="1" applyFill="1" applyBorder="1" applyAlignment="1">
      <alignment horizontal="left" vertical="center"/>
    </xf>
    <xf numFmtId="49" fontId="4" fillId="29" borderId="2" xfId="0" applyNumberFormat="1" applyFont="1" applyFill="1" applyBorder="1"/>
    <xf numFmtId="49" fontId="1" fillId="27" borderId="2" xfId="0" applyNumberFormat="1" applyFont="1" applyFill="1" applyBorder="1"/>
    <xf numFmtId="0" fontId="10" fillId="6" borderId="2" xfId="0" applyFont="1" applyFill="1" applyBorder="1"/>
    <xf numFmtId="0" fontId="1" fillId="6" borderId="2" xfId="0" applyFont="1" applyFill="1" applyBorder="1" applyAlignment="1">
      <alignment horizontal="left"/>
    </xf>
    <xf numFmtId="0" fontId="1" fillId="20" borderId="2" xfId="0" applyFont="1" applyFill="1" applyBorder="1" applyAlignment="1">
      <alignment horizontal="left"/>
    </xf>
    <xf numFmtId="49" fontId="1" fillId="0" borderId="2" xfId="0" applyNumberFormat="1" applyFont="1" applyBorder="1"/>
    <xf numFmtId="0" fontId="10" fillId="25" borderId="2" xfId="0" applyFont="1" applyFill="1" applyBorder="1" applyAlignment="1">
      <alignment horizontal="center" vertical="center"/>
    </xf>
    <xf numFmtId="166" fontId="1" fillId="25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6" fontId="1" fillId="0" borderId="0" xfId="0" applyNumberFormat="1" applyFont="1" applyFill="1" applyAlignment="1">
      <alignment horizontal="center" vertical="center"/>
    </xf>
    <xf numFmtId="166" fontId="1" fillId="0" borderId="0" xfId="0" applyNumberFormat="1" applyFont="1" applyAlignment="1">
      <alignment horizontal="left" vertical="center"/>
    </xf>
    <xf numFmtId="0" fontId="39" fillId="0" borderId="2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left" vertical="center"/>
    </xf>
    <xf numFmtId="0" fontId="39" fillId="0" borderId="3" xfId="0" quotePrefix="1" applyFont="1" applyFill="1" applyBorder="1" applyAlignment="1">
      <alignment horizontal="center" vertical="center"/>
    </xf>
    <xf numFmtId="0" fontId="39" fillId="0" borderId="3" xfId="0" applyFont="1" applyFill="1" applyBorder="1" applyAlignment="1">
      <alignment horizontal="left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left" vertical="center"/>
    </xf>
    <xf numFmtId="0" fontId="10" fillId="0" borderId="42" xfId="0" quotePrefix="1" applyFont="1" applyFill="1" applyBorder="1" applyAlignment="1">
      <alignment horizontal="center" vertical="center"/>
    </xf>
    <xf numFmtId="0" fontId="10" fillId="0" borderId="43" xfId="0" quotePrefix="1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left" vertical="center"/>
    </xf>
    <xf numFmtId="0" fontId="39" fillId="0" borderId="5" xfId="0" quotePrefix="1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left" vertical="center"/>
    </xf>
    <xf numFmtId="49" fontId="31" fillId="0" borderId="0" xfId="0" applyNumberFormat="1" applyFont="1" applyBorder="1" applyAlignment="1">
      <alignment horizontal="left" textRotation="90"/>
    </xf>
    <xf numFmtId="0" fontId="31" fillId="0" borderId="0" xfId="0" applyFont="1" applyBorder="1" applyAlignment="1">
      <alignment horizontal="left" textRotation="90"/>
    </xf>
    <xf numFmtId="0" fontId="31" fillId="0" borderId="0" xfId="0" applyFont="1" applyAlignment="1">
      <alignment horizontal="left" textRotation="90"/>
    </xf>
    <xf numFmtId="0" fontId="31" fillId="0" borderId="0" xfId="0" applyFont="1" applyBorder="1" applyAlignment="1">
      <alignment horizontal="center" textRotation="90"/>
    </xf>
    <xf numFmtId="0" fontId="1" fillId="0" borderId="0" xfId="0" applyFont="1" applyAlignment="1">
      <alignment horizontal="center" textRotation="90"/>
    </xf>
    <xf numFmtId="0" fontId="1" fillId="0" borderId="0" xfId="0" applyFont="1" applyFill="1" applyAlignment="1">
      <alignment textRotation="90"/>
    </xf>
    <xf numFmtId="49" fontId="31" fillId="0" borderId="0" xfId="0" applyNumberFormat="1" applyFont="1" applyBorder="1" applyAlignment="1">
      <alignment horizontal="left" vertical="top"/>
    </xf>
    <xf numFmtId="0" fontId="31" fillId="0" borderId="0" xfId="0" applyFont="1" applyBorder="1" applyAlignment="1">
      <alignment horizontal="left" vertical="top"/>
    </xf>
    <xf numFmtId="0" fontId="31" fillId="0" borderId="0" xfId="0" applyFont="1" applyBorder="1" applyAlignment="1">
      <alignment horizontal="center" vertical="top"/>
    </xf>
    <xf numFmtId="0" fontId="31" fillId="0" borderId="0" xfId="0" applyFont="1" applyBorder="1" applyAlignment="1">
      <alignment horizontal="left"/>
    </xf>
    <xf numFmtId="166" fontId="1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2" fillId="23" borderId="28" xfId="0" applyFont="1" applyFill="1" applyBorder="1" applyAlignment="1">
      <alignment horizontal="center" vertical="center" wrapText="1"/>
    </xf>
    <xf numFmtId="0" fontId="12" fillId="23" borderId="28" xfId="0" applyFont="1" applyFill="1" applyBorder="1" applyAlignment="1">
      <alignment horizontal="left" vertical="center" wrapText="1"/>
    </xf>
    <xf numFmtId="0" fontId="5" fillId="23" borderId="28" xfId="0" applyFont="1" applyFill="1" applyBorder="1" applyAlignment="1">
      <alignment horizontal="center" vertical="center" wrapText="1"/>
    </xf>
    <xf numFmtId="0" fontId="0" fillId="0" borderId="0" xfId="0" applyBorder="1"/>
    <xf numFmtId="0" fontId="0" fillId="13" borderId="0" xfId="0" applyFont="1" applyFill="1" applyBorder="1" applyAlignment="1">
      <alignment horizontal="center"/>
    </xf>
    <xf numFmtId="0" fontId="0" fillId="13" borderId="0" xfId="0" applyFill="1" applyBorder="1" applyAlignment="1">
      <alignment horizontal="center"/>
    </xf>
    <xf numFmtId="0" fontId="0" fillId="21" borderId="2" xfId="0" applyFill="1" applyBorder="1" applyProtection="1"/>
    <xf numFmtId="0" fontId="0" fillId="21" borderId="2" xfId="0" applyFill="1" applyBorder="1" applyAlignment="1" applyProtection="1">
      <alignment horizontal="center"/>
    </xf>
    <xf numFmtId="0" fontId="21" fillId="0" borderId="0" xfId="0" applyFont="1"/>
    <xf numFmtId="0" fontId="5" fillId="14" borderId="7" xfId="0" applyFont="1" applyFill="1" applyBorder="1" applyAlignment="1"/>
    <xf numFmtId="0" fontId="5" fillId="14" borderId="13" xfId="0" applyFont="1" applyFill="1" applyBorder="1" applyAlignment="1"/>
    <xf numFmtId="0" fontId="5" fillId="14" borderId="4" xfId="0" applyFont="1" applyFill="1" applyBorder="1" applyAlignment="1"/>
    <xf numFmtId="0" fontId="20" fillId="7" borderId="3" xfId="0" applyFont="1" applyFill="1" applyBorder="1" applyAlignment="1">
      <alignment vertical="center"/>
    </xf>
    <xf numFmtId="2" fontId="22" fillId="0" borderId="4" xfId="0" applyNumberFormat="1" applyFont="1" applyFill="1" applyBorder="1" applyAlignment="1">
      <alignment horizontal="center" vertical="center"/>
    </xf>
    <xf numFmtId="166" fontId="22" fillId="0" borderId="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6" fontId="21" fillId="0" borderId="2" xfId="0" applyNumberFormat="1" applyFont="1" applyBorder="1" applyAlignment="1"/>
    <xf numFmtId="1" fontId="0" fillId="0" borderId="2" xfId="0" applyNumberFormat="1" applyBorder="1" applyAlignment="1">
      <alignment horizontal="center" vertical="center"/>
    </xf>
    <xf numFmtId="0" fontId="33" fillId="0" borderId="2" xfId="0" applyFont="1" applyBorder="1" applyAlignment="1">
      <alignment vertical="center"/>
    </xf>
    <xf numFmtId="0" fontId="0" fillId="31" borderId="0" xfId="0" applyFill="1"/>
    <xf numFmtId="0" fontId="5" fillId="4" borderId="2" xfId="0" applyFont="1" applyFill="1" applyBorder="1" applyAlignment="1" applyProtection="1"/>
    <xf numFmtId="0" fontId="0" fillId="0" borderId="5" xfId="0" applyFill="1" applyBorder="1" applyAlignment="1" applyProtection="1">
      <alignment horizontal="left" vertical="center"/>
    </xf>
    <xf numFmtId="0" fontId="10" fillId="0" borderId="54" xfId="0" applyFont="1" applyFill="1" applyBorder="1" applyAlignment="1" applyProtection="1">
      <alignment horizontal="center" vertical="center"/>
    </xf>
    <xf numFmtId="2" fontId="0" fillId="0" borderId="5" xfId="0" applyNumberFormat="1" applyFont="1" applyFill="1" applyBorder="1" applyAlignment="1" applyProtection="1">
      <alignment horizontal="center"/>
    </xf>
    <xf numFmtId="0" fontId="17" fillId="0" borderId="5" xfId="0" applyFont="1" applyFill="1" applyBorder="1" applyAlignment="1" applyProtection="1">
      <alignment horizontal="center"/>
    </xf>
    <xf numFmtId="0" fontId="10" fillId="21" borderId="53" xfId="0" applyFont="1" applyFill="1" applyBorder="1" applyAlignment="1" applyProtection="1">
      <alignment horizontal="center" vertical="center"/>
    </xf>
    <xf numFmtId="0" fontId="0" fillId="21" borderId="53" xfId="0" applyFill="1" applyBorder="1" applyAlignment="1" applyProtection="1">
      <alignment horizontal="left" vertical="center"/>
    </xf>
    <xf numFmtId="2" fontId="0" fillId="21" borderId="53" xfId="0" applyNumberFormat="1" applyFont="1" applyFill="1" applyBorder="1" applyAlignment="1" applyProtection="1">
      <alignment horizontal="center"/>
    </xf>
    <xf numFmtId="0" fontId="17" fillId="0" borderId="53" xfId="0" applyFont="1" applyFill="1" applyBorder="1" applyAlignment="1" applyProtection="1">
      <alignment horizontal="center"/>
    </xf>
    <xf numFmtId="2" fontId="10" fillId="0" borderId="3" xfId="0" applyNumberFormat="1" applyFont="1" applyFill="1" applyBorder="1" applyAlignment="1" applyProtection="1">
      <alignment horizontal="center" vertical="center"/>
    </xf>
    <xf numFmtId="2" fontId="0" fillId="21" borderId="53" xfId="0" applyNumberFormat="1" applyFill="1" applyBorder="1" applyAlignment="1" applyProtection="1">
      <alignment horizontal="center" vertical="center"/>
    </xf>
    <xf numFmtId="2" fontId="10" fillId="0" borderId="5" xfId="0" applyNumberFormat="1" applyFont="1" applyFill="1" applyBorder="1" applyAlignment="1" applyProtection="1">
      <alignment horizontal="center" vertical="center"/>
    </xf>
    <xf numFmtId="2" fontId="0" fillId="5" borderId="2" xfId="0" applyNumberFormat="1" applyFill="1" applyBorder="1" applyAlignment="1" applyProtection="1">
      <alignment horizontal="center" vertical="center"/>
    </xf>
    <xf numFmtId="2" fontId="0" fillId="21" borderId="2" xfId="0" applyNumberFormat="1" applyFill="1" applyBorder="1" applyAlignment="1" applyProtection="1">
      <alignment horizontal="center" vertical="center"/>
    </xf>
    <xf numFmtId="0" fontId="21" fillId="21" borderId="7" xfId="0" applyFont="1" applyFill="1" applyBorder="1" applyAlignment="1"/>
    <xf numFmtId="0" fontId="21" fillId="21" borderId="4" xfId="0" applyFont="1" applyFill="1" applyBorder="1" applyAlignment="1"/>
    <xf numFmtId="0" fontId="9" fillId="21" borderId="4" xfId="0" applyFont="1" applyFill="1" applyBorder="1" applyAlignment="1">
      <alignment horizontal="center" vertical="center"/>
    </xf>
    <xf numFmtId="166" fontId="22" fillId="21" borderId="4" xfId="0" applyNumberFormat="1" applyFont="1" applyFill="1" applyBorder="1" applyAlignment="1">
      <alignment horizontal="center" vertical="center"/>
    </xf>
    <xf numFmtId="2" fontId="22" fillId="21" borderId="4" xfId="0" applyNumberFormat="1" applyFont="1" applyFill="1" applyBorder="1" applyAlignment="1">
      <alignment horizontal="center" vertical="center"/>
    </xf>
    <xf numFmtId="166" fontId="23" fillId="21" borderId="2" xfId="0" applyNumberFormat="1" applyFont="1" applyFill="1" applyBorder="1" applyAlignment="1">
      <alignment horizontal="center" vertical="center"/>
    </xf>
    <xf numFmtId="0" fontId="21" fillId="0" borderId="0" xfId="0" applyFont="1"/>
    <xf numFmtId="0" fontId="21" fillId="20" borderId="2" xfId="0" applyFont="1" applyFill="1" applyBorder="1" applyAlignment="1" applyProtection="1">
      <alignment horizontal="center" vertical="center"/>
    </xf>
    <xf numFmtId="0" fontId="10" fillId="0" borderId="5" xfId="5" applyNumberFormat="1" applyFont="1" applyFill="1" applyBorder="1" applyAlignment="1">
      <alignment horizontal="center" vertical="center"/>
    </xf>
    <xf numFmtId="0" fontId="40" fillId="0" borderId="2" xfId="0" applyFont="1" applyFill="1" applyBorder="1" applyAlignment="1" applyProtection="1">
      <alignment horizontal="left" vertical="center"/>
    </xf>
    <xf numFmtId="0" fontId="40" fillId="0" borderId="2" xfId="0" applyFont="1" applyFill="1" applyBorder="1" applyAlignment="1" applyProtection="1">
      <alignment horizontal="left"/>
    </xf>
    <xf numFmtId="0" fontId="41" fillId="0" borderId="2" xfId="0" applyFont="1" applyFill="1" applyBorder="1" applyAlignment="1" applyProtection="1">
      <alignment horizontal="left"/>
    </xf>
    <xf numFmtId="0" fontId="41" fillId="0" borderId="2" xfId="0" applyFont="1" applyFill="1" applyBorder="1" applyAlignment="1" applyProtection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42" fillId="23" borderId="0" xfId="0" applyFont="1" applyFill="1"/>
    <xf numFmtId="0" fontId="42" fillId="0" borderId="0" xfId="0" applyFont="1" applyBorder="1"/>
    <xf numFmtId="0" fontId="0" fillId="23" borderId="0" xfId="0" applyFill="1"/>
    <xf numFmtId="1" fontId="0" fillId="0" borderId="0" xfId="0" applyNumberForma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 vertical="center"/>
    </xf>
    <xf numFmtId="11" fontId="0" fillId="0" borderId="2" xfId="0" applyNumberFormat="1" applyFill="1" applyBorder="1" applyAlignment="1" applyProtection="1">
      <alignment horizontal="center"/>
    </xf>
    <xf numFmtId="11" fontId="0" fillId="0" borderId="2" xfId="0" applyNumberFormat="1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2" xfId="0" applyFont="1" applyFill="1" applyBorder="1" applyAlignment="1" applyProtection="1">
      <alignment horizontal="center" vertical="center"/>
    </xf>
    <xf numFmtId="0" fontId="5" fillId="0" borderId="55" xfId="0" applyFont="1" applyFill="1" applyBorder="1"/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/>
    <xf numFmtId="0" fontId="0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21" fillId="20" borderId="2" xfId="0" applyFont="1" applyFill="1" applyBorder="1" applyAlignment="1" applyProtection="1">
      <alignment horizontal="left" vertical="center"/>
    </xf>
    <xf numFmtId="0" fontId="0" fillId="5" borderId="2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32" borderId="2" xfId="0" applyFill="1" applyBorder="1" applyAlignment="1">
      <alignment horizontal="centerContinuous"/>
    </xf>
    <xf numFmtId="0" fontId="29" fillId="0" borderId="0" xfId="0" applyFont="1" applyFill="1" applyProtection="1"/>
    <xf numFmtId="0" fontId="21" fillId="0" borderId="0" xfId="0" applyFont="1" applyProtection="1"/>
    <xf numFmtId="0" fontId="20" fillId="0" borderId="0" xfId="0" applyFont="1" applyProtection="1"/>
    <xf numFmtId="0" fontId="21" fillId="0" borderId="45" xfId="0" applyFont="1" applyBorder="1" applyProtection="1"/>
    <xf numFmtId="0" fontId="30" fillId="0" borderId="0" xfId="0" applyFont="1" applyFill="1" applyBorder="1" applyAlignment="1" applyProtection="1">
      <alignment vertical="center"/>
    </xf>
    <xf numFmtId="0" fontId="5" fillId="23" borderId="2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vertical="center"/>
    </xf>
    <xf numFmtId="0" fontId="5" fillId="23" borderId="7" xfId="0" applyFont="1" applyFill="1" applyBorder="1" applyAlignment="1" applyProtection="1">
      <alignment horizontal="center" vertical="center"/>
    </xf>
    <xf numFmtId="0" fontId="45" fillId="0" borderId="49" xfId="0" applyFont="1" applyBorder="1" applyAlignment="1" applyProtection="1">
      <alignment vertical="center"/>
    </xf>
    <xf numFmtId="0" fontId="31" fillId="0" borderId="23" xfId="4" applyFont="1" applyBorder="1" applyProtection="1"/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left"/>
    </xf>
    <xf numFmtId="0" fontId="21" fillId="0" borderId="2" xfId="0" applyFont="1" applyBorder="1" applyAlignment="1" applyProtection="1">
      <alignment horizontal="right"/>
    </xf>
    <xf numFmtId="0" fontId="21" fillId="0" borderId="2" xfId="0" applyFont="1" applyBorder="1" applyProtection="1"/>
    <xf numFmtId="166" fontId="21" fillId="0" borderId="2" xfId="0" applyNumberFormat="1" applyFont="1" applyBorder="1" applyProtection="1"/>
    <xf numFmtId="2" fontId="21" fillId="0" borderId="0" xfId="0" applyNumberFormat="1" applyFont="1" applyFill="1" applyBorder="1" applyAlignment="1" applyProtection="1">
      <alignment horizontal="center" vertical="center"/>
    </xf>
    <xf numFmtId="164" fontId="22" fillId="0" borderId="0" xfId="4" applyNumberFormat="1" applyFont="1" applyFill="1" applyBorder="1" applyAlignment="1" applyProtection="1">
      <alignment horizontal="center" vertical="center"/>
    </xf>
    <xf numFmtId="166" fontId="21" fillId="0" borderId="2" xfId="0" applyNumberFormat="1" applyFont="1" applyFill="1" applyBorder="1" applyAlignment="1" applyProtection="1">
      <alignment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6" borderId="2" xfId="0" applyFont="1" applyFill="1" applyBorder="1" applyAlignment="1" applyProtection="1">
      <alignment horizontal="center"/>
    </xf>
    <xf numFmtId="0" fontId="33" fillId="0" borderId="7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left"/>
    </xf>
    <xf numFmtId="0" fontId="34" fillId="0" borderId="13" xfId="0" applyFont="1" applyBorder="1" applyAlignment="1" applyProtection="1"/>
    <xf numFmtId="0" fontId="34" fillId="0" borderId="4" xfId="0" applyFont="1" applyBorder="1" applyAlignment="1" applyProtection="1"/>
    <xf numFmtId="0" fontId="34" fillId="0" borderId="0" xfId="0" applyFont="1" applyBorder="1" applyAlignment="1" applyProtection="1">
      <alignment horizontal="center"/>
    </xf>
    <xf numFmtId="0" fontId="33" fillId="0" borderId="45" xfId="0" applyFont="1" applyBorder="1" applyAlignment="1" applyProtection="1">
      <alignment horizontal="center"/>
    </xf>
    <xf numFmtId="0" fontId="46" fillId="0" borderId="45" xfId="0" applyFont="1" applyBorder="1" applyAlignment="1" applyProtection="1">
      <alignment horizontal="centerContinuous"/>
    </xf>
    <xf numFmtId="0" fontId="33" fillId="0" borderId="38" xfId="0" applyFont="1" applyBorder="1" applyAlignment="1" applyProtection="1">
      <alignment horizontal="centerContinuous"/>
    </xf>
    <xf numFmtId="0" fontId="33" fillId="0" borderId="46" xfId="0" applyFont="1" applyBorder="1" applyAlignment="1" applyProtection="1">
      <alignment horizontal="centerContinuous"/>
    </xf>
    <xf numFmtId="0" fontId="21" fillId="0" borderId="0" xfId="0" applyFont="1" applyBorder="1" applyProtection="1"/>
    <xf numFmtId="2" fontId="21" fillId="0" borderId="2" xfId="0" applyNumberFormat="1" applyFont="1" applyBorder="1" applyProtection="1"/>
    <xf numFmtId="0" fontId="21" fillId="0" borderId="0" xfId="0" applyFont="1" applyFill="1" applyBorder="1" applyAlignment="1" applyProtection="1">
      <alignment horizontal="center"/>
    </xf>
    <xf numFmtId="0" fontId="33" fillId="0" borderId="48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vertical="center"/>
    </xf>
    <xf numFmtId="0" fontId="33" fillId="0" borderId="48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right"/>
    </xf>
    <xf numFmtId="2" fontId="21" fillId="0" borderId="0" xfId="0" applyNumberFormat="1" applyFont="1" applyBorder="1" applyProtection="1"/>
    <xf numFmtId="0" fontId="33" fillId="0" borderId="2" xfId="0" applyFont="1" applyBorder="1" applyAlignment="1" applyProtection="1">
      <alignment horizontal="center"/>
    </xf>
    <xf numFmtId="0" fontId="33" fillId="0" borderId="2" xfId="0" applyFont="1" applyBorder="1" applyAlignment="1" applyProtection="1"/>
    <xf numFmtId="0" fontId="33" fillId="0" borderId="0" xfId="0" applyFont="1" applyBorder="1" applyAlignment="1" applyProtection="1">
      <alignment horizontal="left"/>
    </xf>
    <xf numFmtId="0" fontId="21" fillId="0" borderId="52" xfId="0" applyFont="1" applyBorder="1" applyProtection="1"/>
    <xf numFmtId="0" fontId="33" fillId="0" borderId="2" xfId="0" applyFont="1" applyBorder="1" applyAlignment="1" applyProtection="1">
      <alignment horizontal="center" vertical="center"/>
    </xf>
    <xf numFmtId="0" fontId="21" fillId="6" borderId="2" xfId="0" applyFont="1" applyFill="1" applyBorder="1" applyAlignment="1" applyProtection="1">
      <alignment horizontal="center" vertical="center"/>
    </xf>
    <xf numFmtId="0" fontId="21" fillId="6" borderId="2" xfId="0" applyFont="1" applyFill="1" applyBorder="1" applyAlignment="1" applyProtection="1">
      <alignment horizontal="center" wrapText="1"/>
    </xf>
    <xf numFmtId="0" fontId="21" fillId="0" borderId="4" xfId="0" applyFont="1" applyBorder="1" applyProtection="1"/>
    <xf numFmtId="164" fontId="21" fillId="0" borderId="2" xfId="0" applyNumberFormat="1" applyFont="1" applyFill="1" applyBorder="1" applyProtection="1"/>
    <xf numFmtId="0" fontId="21" fillId="0" borderId="2" xfId="0" applyFont="1" applyFill="1" applyBorder="1" applyAlignment="1" applyProtection="1">
      <alignment horizontal="center"/>
    </xf>
    <xf numFmtId="0" fontId="21" fillId="0" borderId="2" xfId="0" applyFont="1" applyFill="1" applyBorder="1" applyAlignment="1" applyProtection="1">
      <alignment horizontal="center" vertical="center"/>
    </xf>
    <xf numFmtId="0" fontId="21" fillId="0" borderId="2" xfId="0" applyFont="1" applyFill="1" applyBorder="1" applyProtection="1"/>
    <xf numFmtId="0" fontId="21" fillId="21" borderId="0" xfId="0" applyFont="1" applyFill="1" applyBorder="1" applyAlignment="1" applyProtection="1">
      <alignment horizontal="center"/>
    </xf>
    <xf numFmtId="0" fontId="21" fillId="0" borderId="3" xfId="0" applyFont="1" applyBorder="1" applyAlignment="1" applyProtection="1">
      <alignment horizontal="center" vertical="center"/>
    </xf>
    <xf numFmtId="0" fontId="33" fillId="0" borderId="7" xfId="0" applyFont="1" applyBorder="1" applyAlignment="1" applyProtection="1">
      <alignment horizontal="left"/>
    </xf>
    <xf numFmtId="0" fontId="35" fillId="0" borderId="2" xfId="0" applyFont="1" applyBorder="1" applyAlignment="1" applyProtection="1"/>
    <xf numFmtId="0" fontId="21" fillId="0" borderId="0" xfId="0" applyFont="1" applyBorder="1" applyAlignment="1" applyProtection="1">
      <alignment horizontal="center"/>
    </xf>
    <xf numFmtId="0" fontId="33" fillId="0" borderId="48" xfId="0" applyFont="1" applyBorder="1" applyAlignment="1" applyProtection="1"/>
    <xf numFmtId="0" fontId="33" fillId="0" borderId="48" xfId="0" applyFont="1" applyBorder="1" applyAlignment="1" applyProtection="1">
      <alignment vertical="center"/>
    </xf>
    <xf numFmtId="0" fontId="21" fillId="0" borderId="7" xfId="0" applyFont="1" applyBorder="1" applyAlignment="1" applyProtection="1">
      <alignment horizontal="right"/>
    </xf>
    <xf numFmtId="2" fontId="21" fillId="0" borderId="2" xfId="0" applyNumberFormat="1" applyFont="1" applyFill="1" applyBorder="1" applyAlignment="1" applyProtection="1">
      <alignment horizontal="right"/>
    </xf>
    <xf numFmtId="0" fontId="21" fillId="8" borderId="2" xfId="0" applyFont="1" applyFill="1" applyBorder="1" applyAlignment="1" applyProtection="1">
      <alignment horizontal="center" vertical="center"/>
    </xf>
    <xf numFmtId="0" fontId="21" fillId="0" borderId="2" xfId="0" applyFont="1" applyBorder="1" applyAlignment="1" applyProtection="1">
      <alignment vertical="center"/>
    </xf>
    <xf numFmtId="167" fontId="21" fillId="0" borderId="2" xfId="0" applyNumberFormat="1" applyFont="1" applyFill="1" applyBorder="1" applyProtection="1"/>
    <xf numFmtId="0" fontId="21" fillId="0" borderId="5" xfId="0" applyFont="1" applyBorder="1" applyAlignment="1" applyProtection="1">
      <alignment vertical="center"/>
    </xf>
    <xf numFmtId="0" fontId="33" fillId="0" borderId="9" xfId="0" applyFont="1" applyBorder="1" applyAlignment="1" applyProtection="1">
      <alignment vertical="center"/>
    </xf>
    <xf numFmtId="0" fontId="34" fillId="0" borderId="14" xfId="0" applyFont="1" applyBorder="1" applyAlignment="1" applyProtection="1"/>
    <xf numFmtId="0" fontId="34" fillId="0" borderId="15" xfId="0" applyFont="1" applyBorder="1" applyAlignment="1" applyProtection="1"/>
    <xf numFmtId="0" fontId="21" fillId="0" borderId="2" xfId="0" applyFont="1" applyBorder="1" applyAlignment="1" applyProtection="1">
      <alignment horizontal="center" vertical="center"/>
    </xf>
    <xf numFmtId="0" fontId="33" fillId="0" borderId="7" xfId="0" applyFont="1" applyBorder="1" applyAlignment="1" applyProtection="1"/>
    <xf numFmtId="0" fontId="33" fillId="0" borderId="13" xfId="0" applyFont="1" applyBorder="1" applyAlignment="1" applyProtection="1"/>
    <xf numFmtId="0" fontId="21" fillId="0" borderId="0" xfId="0" applyFont="1" applyFill="1" applyBorder="1" applyAlignment="1" applyProtection="1">
      <alignment horizontal="center" vertical="center"/>
    </xf>
    <xf numFmtId="0" fontId="21" fillId="0" borderId="48" xfId="0" applyFont="1" applyBorder="1" applyProtection="1"/>
    <xf numFmtId="0" fontId="21" fillId="0" borderId="48" xfId="0" applyFont="1" applyBorder="1" applyAlignment="1" applyProtection="1">
      <alignment vertical="center"/>
    </xf>
    <xf numFmtId="2" fontId="21" fillId="0" borderId="2" xfId="0" applyNumberFormat="1" applyFont="1" applyFill="1" applyBorder="1" applyProtection="1"/>
    <xf numFmtId="0" fontId="34" fillId="0" borderId="0" xfId="0" applyFont="1" applyBorder="1" applyAlignment="1" applyProtection="1"/>
    <xf numFmtId="0" fontId="21" fillId="0" borderId="47" xfId="0" applyFont="1" applyBorder="1" applyProtection="1"/>
    <xf numFmtId="0" fontId="21" fillId="0" borderId="47" xfId="0" applyFont="1" applyBorder="1" applyAlignment="1" applyProtection="1">
      <alignment vertical="center"/>
    </xf>
    <xf numFmtId="164" fontId="21" fillId="0" borderId="2" xfId="0" applyNumberFormat="1" applyFont="1" applyBorder="1" applyAlignment="1" applyProtection="1">
      <alignment horizontal="center" vertical="center"/>
    </xf>
    <xf numFmtId="2" fontId="21" fillId="0" borderId="2" xfId="0" applyNumberFormat="1" applyFont="1" applyBorder="1" applyAlignment="1" applyProtection="1">
      <alignment vertical="center"/>
    </xf>
    <xf numFmtId="164" fontId="21" fillId="0" borderId="2" xfId="0" applyNumberFormat="1" applyFont="1" applyBorder="1" applyAlignment="1" applyProtection="1">
      <alignment vertical="center"/>
    </xf>
    <xf numFmtId="1" fontId="21" fillId="0" borderId="2" xfId="0" applyNumberFormat="1" applyFont="1" applyBorder="1" applyAlignment="1" applyProtection="1">
      <alignment horizontal="center" vertical="center"/>
    </xf>
    <xf numFmtId="0" fontId="23" fillId="0" borderId="7" xfId="0" applyFont="1" applyBorder="1" applyAlignment="1" applyProtection="1">
      <alignment horizontal="right"/>
    </xf>
    <xf numFmtId="0" fontId="23" fillId="0" borderId="2" xfId="0" applyFont="1" applyBorder="1" applyProtection="1"/>
    <xf numFmtId="2" fontId="23" fillId="0" borderId="2" xfId="0" applyNumberFormat="1" applyFont="1" applyFill="1" applyBorder="1" applyProtection="1"/>
    <xf numFmtId="0" fontId="23" fillId="0" borderId="4" xfId="0" applyFont="1" applyBorder="1" applyProtection="1"/>
    <xf numFmtId="0" fontId="35" fillId="0" borderId="0" xfId="0" applyFont="1" applyFill="1" applyBorder="1" applyAlignment="1" applyProtection="1">
      <alignment horizontal="center" vertical="center"/>
    </xf>
    <xf numFmtId="0" fontId="21" fillId="0" borderId="13" xfId="0" applyFont="1" applyBorder="1" applyProtection="1"/>
    <xf numFmtId="2" fontId="20" fillId="0" borderId="13" xfId="0" applyNumberFormat="1" applyFont="1" applyFill="1" applyBorder="1" applyProtection="1"/>
    <xf numFmtId="0" fontId="20" fillId="0" borderId="0" xfId="0" applyFont="1" applyFill="1" applyBorder="1" applyAlignment="1" applyProtection="1">
      <alignment horizontal="left" vertical="center"/>
    </xf>
    <xf numFmtId="0" fontId="23" fillId="0" borderId="0" xfId="0" applyFont="1" applyFill="1" applyBorder="1" applyProtection="1"/>
    <xf numFmtId="164" fontId="23" fillId="0" borderId="0" xfId="0" applyNumberFormat="1" applyFont="1" applyFill="1" applyBorder="1" applyAlignment="1" applyProtection="1">
      <alignment horizontal="center"/>
    </xf>
    <xf numFmtId="0" fontId="23" fillId="0" borderId="0" xfId="0" applyFont="1" applyBorder="1" applyProtection="1"/>
    <xf numFmtId="0" fontId="36" fillId="0" borderId="0" xfId="0" applyFont="1" applyFill="1" applyBorder="1" applyAlignment="1" applyProtection="1">
      <alignment horizontal="left"/>
    </xf>
    <xf numFmtId="0" fontId="20" fillId="0" borderId="47" xfId="0" applyFont="1" applyFill="1" applyBorder="1" applyProtection="1"/>
    <xf numFmtId="0" fontId="29" fillId="0" borderId="0" xfId="0" applyFont="1" applyFill="1" applyBorder="1" applyAlignment="1" applyProtection="1">
      <alignment horizontal="center"/>
    </xf>
    <xf numFmtId="0" fontId="23" fillId="0" borderId="2" xfId="0" applyFont="1" applyBorder="1" applyAlignment="1" applyProtection="1">
      <alignment horizontal="center"/>
    </xf>
    <xf numFmtId="0" fontId="21" fillId="0" borderId="35" xfId="0" applyFont="1" applyFill="1" applyBorder="1" applyAlignment="1" applyProtection="1">
      <alignment horizontal="center" vertical="center"/>
    </xf>
    <xf numFmtId="164" fontId="21" fillId="0" borderId="2" xfId="0" applyNumberFormat="1" applyFont="1" applyFill="1" applyBorder="1" applyAlignment="1" applyProtection="1">
      <alignment horizontal="left"/>
    </xf>
    <xf numFmtId="164" fontId="21" fillId="0" borderId="2" xfId="0" applyNumberFormat="1" applyFont="1" applyFill="1" applyBorder="1" applyAlignment="1" applyProtection="1">
      <alignment horizontal="center"/>
    </xf>
    <xf numFmtId="0" fontId="21" fillId="19" borderId="7" xfId="0" applyFont="1" applyFill="1" applyBorder="1" applyAlignment="1" applyProtection="1">
      <alignment horizontal="right"/>
    </xf>
    <xf numFmtId="0" fontId="21" fillId="19" borderId="2" xfId="0" applyFont="1" applyFill="1" applyBorder="1" applyProtection="1"/>
    <xf numFmtId="2" fontId="20" fillId="19" borderId="2" xfId="0" applyNumberFormat="1" applyFont="1" applyFill="1" applyBorder="1" applyProtection="1"/>
    <xf numFmtId="0" fontId="23" fillId="0" borderId="2" xfId="0" applyFont="1" applyBorder="1" applyAlignment="1" applyProtection="1">
      <alignment horizontal="center" vertical="center"/>
    </xf>
    <xf numFmtId="0" fontId="35" fillId="0" borderId="0" xfId="0" applyFont="1" applyBorder="1" applyAlignment="1" applyProtection="1">
      <alignment horizontal="center"/>
    </xf>
    <xf numFmtId="0" fontId="35" fillId="0" borderId="0" xfId="0" applyFont="1" applyBorder="1" applyAlignment="1" applyProtection="1"/>
    <xf numFmtId="0" fontId="21" fillId="0" borderId="2" xfId="0" applyFont="1" applyFill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left" vertical="center" wrapText="1"/>
    </xf>
    <xf numFmtId="2" fontId="21" fillId="5" borderId="2" xfId="0" applyNumberFormat="1" applyFont="1" applyFill="1" applyBorder="1" applyAlignment="1" applyProtection="1">
      <alignment horizontal="center" vertical="center"/>
    </xf>
    <xf numFmtId="0" fontId="21" fillId="0" borderId="26" xfId="0" applyFont="1" applyFill="1" applyBorder="1" applyAlignment="1" applyProtection="1">
      <alignment horizontal="center" vertical="center"/>
    </xf>
    <xf numFmtId="166" fontId="21" fillId="5" borderId="2" xfId="0" applyNumberFormat="1" applyFont="1" applyFill="1" applyBorder="1" applyAlignment="1" applyProtection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</xf>
    <xf numFmtId="0" fontId="21" fillId="0" borderId="4" xfId="0" applyFont="1" applyFill="1" applyBorder="1" applyAlignment="1" applyProtection="1">
      <alignment horizontal="center" vertical="center"/>
    </xf>
    <xf numFmtId="0" fontId="21" fillId="0" borderId="0" xfId="0" applyFont="1" applyBorder="1" applyAlignment="1" applyProtection="1"/>
    <xf numFmtId="0" fontId="21" fillId="0" borderId="3" xfId="0" applyFont="1" applyFill="1" applyBorder="1" applyAlignment="1" applyProtection="1">
      <alignment vertical="center"/>
    </xf>
    <xf numFmtId="164" fontId="23" fillId="5" borderId="2" xfId="0" applyNumberFormat="1" applyFont="1" applyFill="1" applyBorder="1" applyAlignment="1" applyProtection="1">
      <alignment horizontal="center"/>
    </xf>
    <xf numFmtId="0" fontId="21" fillId="0" borderId="0" xfId="0" applyFont="1" applyBorder="1" applyAlignment="1" applyProtection="1">
      <alignment horizontal="left"/>
    </xf>
    <xf numFmtId="167" fontId="20" fillId="19" borderId="2" xfId="0" applyNumberFormat="1" applyFont="1" applyFill="1" applyBorder="1" applyProtection="1"/>
    <xf numFmtId="0" fontId="21" fillId="0" borderId="5" xfId="0" applyFont="1" applyFill="1" applyBorder="1" applyAlignment="1" applyProtection="1">
      <alignment vertical="center"/>
    </xf>
    <xf numFmtId="0" fontId="21" fillId="0" borderId="35" xfId="0" applyFont="1" applyBorder="1" applyAlignment="1" applyProtection="1">
      <alignment horizontal="right"/>
    </xf>
    <xf numFmtId="164" fontId="23" fillId="0" borderId="2" xfId="0" applyNumberFormat="1" applyFont="1" applyFill="1" applyBorder="1" applyAlignment="1" applyProtection="1">
      <alignment horizontal="center"/>
    </xf>
    <xf numFmtId="0" fontId="21" fillId="0" borderId="0" xfId="0" applyFont="1" applyFill="1" applyBorder="1" applyProtection="1"/>
    <xf numFmtId="0" fontId="21" fillId="8" borderId="2" xfId="0" applyFont="1" applyFill="1" applyBorder="1" applyAlignment="1" applyProtection="1">
      <alignment horizontal="center"/>
    </xf>
    <xf numFmtId="0" fontId="21" fillId="0" borderId="2" xfId="0" applyFont="1" applyBorder="1" applyAlignment="1" applyProtection="1">
      <alignment horizontal="left" vertical="center"/>
    </xf>
    <xf numFmtId="1" fontId="21" fillId="8" borderId="2" xfId="0" applyNumberFormat="1" applyFont="1" applyFill="1" applyBorder="1" applyAlignment="1" applyProtection="1">
      <alignment horizontal="center" vertical="center"/>
    </xf>
    <xf numFmtId="0" fontId="21" fillId="0" borderId="2" xfId="0" applyFont="1" applyBorder="1" applyAlignment="1" applyProtection="1">
      <alignment horizontal="right" vertical="center"/>
    </xf>
    <xf numFmtId="0" fontId="22" fillId="0" borderId="2" xfId="0" applyFont="1" applyFill="1" applyBorder="1" applyAlignment="1" applyProtection="1">
      <alignment vertical="center"/>
    </xf>
    <xf numFmtId="0" fontId="21" fillId="0" borderId="47" xfId="0" applyFont="1" applyBorder="1" applyAlignment="1" applyProtection="1">
      <alignment horizontal="right"/>
    </xf>
    <xf numFmtId="0" fontId="21" fillId="0" borderId="47" xfId="0" applyFont="1" applyBorder="1" applyAlignment="1" applyProtection="1">
      <alignment horizontal="right" vertical="center"/>
    </xf>
    <xf numFmtId="2" fontId="21" fillId="0" borderId="0" xfId="0" applyNumberFormat="1" applyFont="1" applyBorder="1" applyAlignment="1" applyProtection="1">
      <alignment vertical="center"/>
    </xf>
    <xf numFmtId="0" fontId="0" fillId="0" borderId="47" xfId="0" applyBorder="1" applyProtection="1"/>
    <xf numFmtId="0" fontId="0" fillId="0" borderId="47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2" fontId="0" fillId="0" borderId="0" xfId="0" applyNumberFormat="1" applyBorder="1" applyProtection="1"/>
    <xf numFmtId="2" fontId="0" fillId="0" borderId="0" xfId="0" applyNumberFormat="1" applyBorder="1" applyAlignment="1" applyProtection="1">
      <alignment vertical="center"/>
    </xf>
    <xf numFmtId="2" fontId="0" fillId="21" borderId="0" xfId="0" applyNumberFormat="1" applyFill="1" applyBorder="1" applyAlignment="1" applyProtection="1">
      <alignment vertical="center"/>
    </xf>
    <xf numFmtId="0" fontId="21" fillId="6" borderId="0" xfId="0" applyFont="1" applyFill="1" applyProtection="1"/>
    <xf numFmtId="2" fontId="0" fillId="30" borderId="0" xfId="0" applyNumberFormat="1" applyFill="1" applyBorder="1" applyProtection="1"/>
    <xf numFmtId="2" fontId="0" fillId="30" borderId="0" xfId="0" applyNumberFormat="1" applyFill="1" applyBorder="1" applyAlignment="1" applyProtection="1">
      <alignment vertical="center"/>
    </xf>
    <xf numFmtId="0" fontId="20" fillId="6" borderId="47" xfId="0" applyFont="1" applyFill="1" applyBorder="1" applyAlignment="1" applyProtection="1">
      <alignment horizontal="left"/>
    </xf>
    <xf numFmtId="0" fontId="21" fillId="0" borderId="7" xfId="0" applyFont="1" applyBorder="1" applyProtection="1"/>
    <xf numFmtId="0" fontId="21" fillId="0" borderId="49" xfId="0" applyFont="1" applyBorder="1" applyProtection="1"/>
    <xf numFmtId="0" fontId="21" fillId="0" borderId="50" xfId="0" applyFont="1" applyBorder="1" applyProtection="1"/>
    <xf numFmtId="0" fontId="21" fillId="0" borderId="51" xfId="0" applyFont="1" applyBorder="1" applyProtection="1"/>
    <xf numFmtId="0" fontId="21" fillId="0" borderId="50" xfId="0" applyFont="1" applyBorder="1" applyAlignment="1" applyProtection="1">
      <alignment vertical="center"/>
    </xf>
    <xf numFmtId="0" fontId="21" fillId="0" borderId="49" xfId="0" applyFont="1" applyBorder="1" applyAlignment="1" applyProtection="1">
      <alignment vertical="center"/>
    </xf>
    <xf numFmtId="0" fontId="21" fillId="0" borderId="51" xfId="0" applyFont="1" applyBorder="1" applyAlignment="1" applyProtection="1">
      <alignment vertical="center"/>
    </xf>
    <xf numFmtId="0" fontId="21" fillId="0" borderId="38" xfId="0" applyFont="1" applyBorder="1" applyProtection="1"/>
    <xf numFmtId="0" fontId="21" fillId="0" borderId="46" xfId="0" applyFont="1" applyBorder="1" applyProtection="1"/>
    <xf numFmtId="0" fontId="21" fillId="0" borderId="0" xfId="0" applyFont="1" applyFill="1" applyBorder="1" applyAlignment="1" applyProtection="1">
      <alignment horizontal="left"/>
    </xf>
    <xf numFmtId="0" fontId="26" fillId="0" borderId="0" xfId="0" applyFont="1" applyFill="1" applyBorder="1" applyAlignment="1" applyProtection="1">
      <alignment horizontal="left" vertical="center"/>
    </xf>
    <xf numFmtId="0" fontId="21" fillId="0" borderId="47" xfId="0" applyFont="1" applyBorder="1" applyAlignment="1" applyProtection="1">
      <alignment horizontal="center" vertical="center" wrapText="1"/>
    </xf>
    <xf numFmtId="2" fontId="21" fillId="0" borderId="0" xfId="0" applyNumberFormat="1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20" fillId="0" borderId="0" xfId="0" applyFont="1" applyFill="1" applyBorder="1" applyProtection="1"/>
    <xf numFmtId="0" fontId="33" fillId="0" borderId="0" xfId="0" applyFont="1" applyFill="1" applyBorder="1" applyAlignment="1" applyProtection="1">
      <alignment horizontal="left"/>
    </xf>
    <xf numFmtId="0" fontId="21" fillId="0" borderId="50" xfId="0" applyFont="1" applyFill="1" applyBorder="1" applyProtection="1"/>
    <xf numFmtId="0" fontId="21" fillId="0" borderId="0" xfId="0" applyFont="1" applyBorder="1" applyAlignment="1" applyProtection="1">
      <alignment vertical="top" wrapText="1"/>
    </xf>
    <xf numFmtId="0" fontId="21" fillId="0" borderId="0" xfId="0" applyFont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right" vertical="center"/>
    </xf>
    <xf numFmtId="0" fontId="35" fillId="0" borderId="0" xfId="0" applyFont="1" applyProtection="1"/>
    <xf numFmtId="0" fontId="21" fillId="7" borderId="35" xfId="0" applyFont="1" applyFill="1" applyBorder="1" applyAlignment="1" applyProtection="1">
      <alignment horizontal="center" vertical="center" wrapText="1"/>
    </xf>
    <xf numFmtId="0" fontId="33" fillId="5" borderId="2" xfId="0" applyFont="1" applyFill="1" applyBorder="1" applyAlignment="1" applyProtection="1">
      <alignment horizontal="center" vertical="center"/>
    </xf>
    <xf numFmtId="0" fontId="21" fillId="5" borderId="2" xfId="0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/>
    </xf>
    <xf numFmtId="0" fontId="0" fillId="5" borderId="2" xfId="0" applyFill="1" applyBorder="1" applyAlignment="1" applyProtection="1">
      <alignment horizontal="center"/>
    </xf>
    <xf numFmtId="0" fontId="21" fillId="7" borderId="2" xfId="0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vertical="center" textRotation="90"/>
    </xf>
    <xf numFmtId="0" fontId="17" fillId="0" borderId="0" xfId="0" applyFont="1" applyFill="1" applyBorder="1" applyAlignment="1" applyProtection="1">
      <alignment horizontal="center"/>
    </xf>
    <xf numFmtId="0" fontId="0" fillId="7" borderId="3" xfId="0" applyFill="1" applyBorder="1" applyAlignment="1">
      <alignment vertical="center"/>
    </xf>
    <xf numFmtId="0" fontId="0" fillId="7" borderId="8" xfId="0" applyFill="1" applyBorder="1" applyAlignment="1">
      <alignment vertical="center"/>
    </xf>
    <xf numFmtId="0" fontId="0" fillId="7" borderId="5" xfId="0" applyFill="1" applyBorder="1" applyAlignment="1">
      <alignment vertical="center"/>
    </xf>
    <xf numFmtId="2" fontId="21" fillId="0" borderId="2" xfId="0" applyNumberFormat="1" applyFont="1" applyFill="1" applyBorder="1" applyAlignment="1" applyProtection="1">
      <alignment horizontal="center"/>
    </xf>
    <xf numFmtId="0" fontId="21" fillId="7" borderId="35" xfId="0" applyFont="1" applyFill="1" applyBorder="1" applyAlignment="1" applyProtection="1">
      <alignment horizontal="right" vertical="center" wrapText="1"/>
    </xf>
    <xf numFmtId="0" fontId="15" fillId="0" borderId="47" xfId="0" applyFont="1" applyBorder="1" applyProtection="1"/>
    <xf numFmtId="0" fontId="33" fillId="0" borderId="46" xfId="0" applyFont="1" applyBorder="1" applyAlignment="1" applyProtection="1">
      <alignment horizontal="center"/>
    </xf>
    <xf numFmtId="0" fontId="5" fillId="4" borderId="0" xfId="0" applyFont="1" applyFill="1" applyBorder="1" applyAlignment="1" applyProtection="1"/>
    <xf numFmtId="0" fontId="16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vertical="top"/>
    </xf>
    <xf numFmtId="0" fontId="5" fillId="0" borderId="2" xfId="0" applyFont="1" applyBorder="1" applyAlignment="1">
      <alignment horizontal="center"/>
    </xf>
    <xf numFmtId="0" fontId="21" fillId="16" borderId="2" xfId="0" applyFont="1" applyFill="1" applyBorder="1" applyAlignment="1" applyProtection="1">
      <alignment horizontal="center" vertical="center"/>
      <protection locked="0"/>
    </xf>
    <xf numFmtId="0" fontId="21" fillId="5" borderId="0" xfId="0" applyFont="1" applyFill="1" applyBorder="1" applyAlignment="1" applyProtection="1">
      <alignment horizontal="center" vertical="center"/>
    </xf>
    <xf numFmtId="0" fontId="21" fillId="7" borderId="47" xfId="0" applyFont="1" applyFill="1" applyBorder="1" applyAlignment="1" applyProtection="1">
      <alignment horizontal="center" vertical="center" wrapText="1"/>
    </xf>
    <xf numFmtId="0" fontId="21" fillId="7" borderId="58" xfId="0" applyFont="1" applyFill="1" applyBorder="1" applyAlignment="1" applyProtection="1">
      <alignment horizontal="center"/>
    </xf>
    <xf numFmtId="0" fontId="21" fillId="7" borderId="57" xfId="0" applyFont="1" applyFill="1" applyBorder="1" applyAlignment="1" applyProtection="1">
      <alignment horizontal="center"/>
    </xf>
    <xf numFmtId="0" fontId="21" fillId="7" borderId="4" xfId="0" applyFont="1" applyFill="1" applyBorder="1" applyAlignment="1" applyProtection="1">
      <alignment horizontal="center" vertical="center"/>
    </xf>
    <xf numFmtId="0" fontId="21" fillId="0" borderId="35" xfId="0" applyFont="1" applyBorder="1" applyAlignment="1" applyProtection="1">
      <alignment horizontal="right" vertical="center"/>
    </xf>
    <xf numFmtId="9" fontId="20" fillId="6" borderId="0" xfId="1" applyFont="1" applyFill="1" applyBorder="1" applyProtection="1"/>
    <xf numFmtId="0" fontId="21" fillId="0" borderId="2" xfId="0" applyFont="1" applyBorder="1" applyAlignment="1" applyProtection="1">
      <alignment horizontal="centerContinuous"/>
    </xf>
    <xf numFmtId="0" fontId="15" fillId="7" borderId="2" xfId="0" applyFont="1" applyFill="1" applyBorder="1" applyAlignment="1" applyProtection="1">
      <alignment horizontal="centerContinuous" vertical="center" wrapText="1"/>
    </xf>
    <xf numFmtId="0" fontId="21" fillId="7" borderId="35" xfId="0" applyFont="1" applyFill="1" applyBorder="1" applyAlignment="1" applyProtection="1">
      <alignment horizontal="centerContinuous" vertical="center" wrapText="1"/>
    </xf>
    <xf numFmtId="0" fontId="21" fillId="7" borderId="2" xfId="0" applyFont="1" applyFill="1" applyBorder="1" applyAlignment="1" applyProtection="1">
      <alignment horizontal="centerContinuous" vertical="center" wrapText="1"/>
    </xf>
    <xf numFmtId="0" fontId="21" fillId="7" borderId="2" xfId="0" applyFont="1" applyFill="1" applyBorder="1" applyAlignment="1" applyProtection="1">
      <alignment horizontal="centerContinuous"/>
    </xf>
    <xf numFmtId="0" fontId="21" fillId="7" borderId="42" xfId="0" applyFont="1" applyFill="1" applyBorder="1" applyAlignment="1" applyProtection="1">
      <alignment horizontal="centerContinuous" vertical="center" wrapText="1"/>
    </xf>
    <xf numFmtId="0" fontId="21" fillId="7" borderId="56" xfId="0" applyFont="1" applyFill="1" applyBorder="1" applyAlignment="1" applyProtection="1">
      <alignment horizontal="centerContinuous"/>
    </xf>
    <xf numFmtId="0" fontId="21" fillId="7" borderId="56" xfId="0" applyFont="1" applyFill="1" applyBorder="1" applyAlignment="1" applyProtection="1">
      <alignment horizontal="centerContinuous" vertical="center" wrapText="1"/>
    </xf>
    <xf numFmtId="0" fontId="47" fillId="6" borderId="22" xfId="0" applyFont="1" applyFill="1" applyBorder="1" applyAlignment="1" applyProtection="1">
      <alignment horizontal="center" vertical="center"/>
      <protection locked="0"/>
    </xf>
    <xf numFmtId="0" fontId="20" fillId="0" borderId="45" xfId="0" applyFont="1" applyFill="1" applyBorder="1" applyAlignment="1" applyProtection="1">
      <alignment horizontal="centerContinuous" vertical="center"/>
    </xf>
    <xf numFmtId="0" fontId="23" fillId="0" borderId="38" xfId="0" applyFont="1" applyFill="1" applyBorder="1" applyAlignment="1" applyProtection="1">
      <alignment horizontal="centerContinuous"/>
    </xf>
    <xf numFmtId="164" fontId="23" fillId="0" borderId="38" xfId="0" applyNumberFormat="1" applyFont="1" applyFill="1" applyBorder="1" applyAlignment="1" applyProtection="1">
      <alignment horizontal="centerContinuous"/>
    </xf>
    <xf numFmtId="0" fontId="20" fillId="0" borderId="45" xfId="0" applyFont="1" applyBorder="1" applyAlignment="1" applyProtection="1">
      <alignment horizontal="centerContinuous"/>
    </xf>
    <xf numFmtId="0" fontId="35" fillId="0" borderId="38" xfId="0" applyFont="1" applyFill="1" applyBorder="1" applyAlignment="1" applyProtection="1">
      <alignment horizontal="centerContinuous" vertical="center"/>
    </xf>
    <xf numFmtId="0" fontId="21" fillId="0" borderId="38" xfId="0" applyFont="1" applyBorder="1" applyAlignment="1" applyProtection="1">
      <alignment horizontal="centerContinuous"/>
    </xf>
    <xf numFmtId="0" fontId="48" fillId="0" borderId="0" xfId="0" applyFont="1" applyAlignment="1" applyProtection="1">
      <alignment horizontal="right" vertical="center" indent="1"/>
    </xf>
    <xf numFmtId="0" fontId="21" fillId="6" borderId="2" xfId="0" applyFont="1" applyFill="1" applyBorder="1" applyAlignment="1" applyProtection="1">
      <alignment horizontal="center" vertical="center"/>
      <protection locked="0"/>
    </xf>
    <xf numFmtId="2" fontId="21" fillId="0" borderId="2" xfId="0" applyNumberFormat="1" applyFont="1" applyFill="1" applyBorder="1" applyAlignment="1" applyProtection="1">
      <alignment horizontal="center"/>
    </xf>
    <xf numFmtId="0" fontId="10" fillId="0" borderId="2" xfId="0" applyFont="1" applyFill="1" applyBorder="1" applyAlignment="1" applyProtection="1">
      <alignment horizontal="center" vertical="center"/>
    </xf>
    <xf numFmtId="0" fontId="0" fillId="0" borderId="8" xfId="0" applyFill="1" applyBorder="1" applyAlignment="1">
      <alignment horizontal="center" vertical="center" textRotation="90"/>
    </xf>
    <xf numFmtId="0" fontId="21" fillId="18" borderId="52" xfId="0" applyFont="1" applyFill="1" applyBorder="1" applyAlignment="1" applyProtection="1">
      <alignment horizontal="right" vertical="center" wrapText="1"/>
    </xf>
    <xf numFmtId="0" fontId="21" fillId="18" borderId="13" xfId="0" applyFont="1" applyFill="1" applyBorder="1" applyAlignment="1" applyProtection="1">
      <alignment horizontal="right" vertical="center" wrapText="1"/>
    </xf>
    <xf numFmtId="0" fontId="21" fillId="18" borderId="13" xfId="0" applyFont="1" applyFill="1" applyBorder="1" applyAlignment="1" applyProtection="1">
      <alignment horizontal="right"/>
    </xf>
    <xf numFmtId="0" fontId="42" fillId="0" borderId="0" xfId="0" applyFont="1"/>
    <xf numFmtId="0" fontId="21" fillId="7" borderId="2" xfId="0" applyFont="1" applyFill="1" applyBorder="1" applyAlignment="1" applyProtection="1">
      <alignment horizontal="centerContinuous" vertical="center"/>
    </xf>
    <xf numFmtId="0" fontId="21" fillId="18" borderId="4" xfId="0" applyFont="1" applyFill="1" applyBorder="1" applyAlignment="1" applyProtection="1">
      <alignment horizontal="right" vertical="center" indent="3"/>
    </xf>
    <xf numFmtId="0" fontId="21" fillId="7" borderId="56" xfId="0" applyFont="1" applyFill="1" applyBorder="1" applyAlignment="1" applyProtection="1">
      <alignment horizontal="centerContinuous" vertical="center"/>
    </xf>
    <xf numFmtId="164" fontId="20" fillId="0" borderId="2" xfId="0" applyNumberFormat="1" applyFont="1" applyFill="1" applyBorder="1" applyAlignment="1" applyProtection="1">
      <alignment horizontal="centerContinuous" vertical="center"/>
    </xf>
    <xf numFmtId="169" fontId="0" fillId="0" borderId="0" xfId="0" applyNumberFormat="1" applyFill="1" applyBorder="1" applyProtection="1"/>
    <xf numFmtId="2" fontId="0" fillId="21" borderId="0" xfId="0" applyNumberFormat="1" applyFill="1" applyBorder="1" applyProtection="1"/>
    <xf numFmtId="0" fontId="23" fillId="0" borderId="59" xfId="0" applyFont="1" applyFill="1" applyBorder="1" applyAlignment="1" applyProtection="1">
      <alignment horizontal="center" vertical="center"/>
      <protection locked="0"/>
    </xf>
    <xf numFmtId="0" fontId="0" fillId="5" borderId="59" xfId="0" applyFont="1" applyFill="1" applyBorder="1" applyAlignment="1" applyProtection="1">
      <alignment horizontal="center" vertical="center"/>
    </xf>
    <xf numFmtId="2" fontId="23" fillId="0" borderId="59" xfId="0" applyNumberFormat="1" applyFont="1" applyFill="1" applyBorder="1" applyAlignment="1" applyProtection="1">
      <alignment horizontal="center" vertical="center"/>
      <protection locked="0"/>
    </xf>
    <xf numFmtId="0" fontId="23" fillId="0" borderId="59" xfId="0" applyFont="1" applyFill="1" applyBorder="1" applyAlignment="1" applyProtection="1">
      <alignment horizontal="center"/>
      <protection locked="0"/>
    </xf>
    <xf numFmtId="0" fontId="21" fillId="0" borderId="43" xfId="0" applyFont="1" applyBorder="1" applyProtection="1"/>
    <xf numFmtId="0" fontId="21" fillId="0" borderId="60" xfId="0" applyFont="1" applyBorder="1" applyProtection="1"/>
    <xf numFmtId="0" fontId="21" fillId="0" borderId="61" xfId="0" applyFont="1" applyBorder="1" applyProtection="1"/>
    <xf numFmtId="0" fontId="21" fillId="0" borderId="62" xfId="0" applyFont="1" applyBorder="1" applyProtection="1"/>
    <xf numFmtId="0" fontId="29" fillId="0" borderId="0" xfId="0" applyFont="1" applyProtection="1"/>
    <xf numFmtId="0" fontId="0" fillId="32" borderId="5" xfId="0" applyFill="1" applyBorder="1" applyAlignment="1">
      <alignment horizontal="centerContinuous"/>
    </xf>
    <xf numFmtId="0" fontId="50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28" fillId="0" borderId="2" xfId="0" applyFont="1" applyBorder="1" applyAlignment="1">
      <alignment vertical="center"/>
    </xf>
    <xf numFmtId="0" fontId="51" fillId="0" borderId="2" xfId="0" applyFont="1" applyBorder="1" applyAlignment="1">
      <alignment vertical="center"/>
    </xf>
    <xf numFmtId="0" fontId="52" fillId="0" borderId="2" xfId="0" applyFont="1" applyBorder="1" applyAlignment="1">
      <alignment vertical="center"/>
    </xf>
    <xf numFmtId="0" fontId="10" fillId="0" borderId="2" xfId="0" applyFont="1" applyFill="1" applyBorder="1" applyAlignment="1" applyProtection="1">
      <alignment horizontal="center" vertical="center"/>
    </xf>
    <xf numFmtId="0" fontId="53" fillId="0" borderId="0" xfId="0" applyFont="1" applyAlignment="1" applyProtection="1">
      <alignment horizontal="right"/>
    </xf>
    <xf numFmtId="15" fontId="53" fillId="0" borderId="0" xfId="0" applyNumberFormat="1" applyFont="1" applyAlignment="1" applyProtection="1">
      <alignment horizontal="left"/>
    </xf>
    <xf numFmtId="0" fontId="53" fillId="0" borderId="0" xfId="0" applyFont="1" applyAlignment="1" applyProtection="1">
      <alignment horizontal="right" vertical="top"/>
    </xf>
    <xf numFmtId="164" fontId="53" fillId="0" borderId="0" xfId="0" applyNumberFormat="1" applyFont="1" applyAlignment="1" applyProtection="1">
      <alignment horizontal="left" vertical="top"/>
    </xf>
    <xf numFmtId="0" fontId="35" fillId="0" borderId="57" xfId="0" applyFont="1" applyFill="1" applyBorder="1" applyAlignment="1" applyProtection="1">
      <alignment horizontal="center" vertical="center"/>
    </xf>
    <xf numFmtId="0" fontId="21" fillId="0" borderId="63" xfId="0" applyFont="1" applyBorder="1" applyAlignment="1" applyProtection="1">
      <alignment vertical="top" wrapText="1"/>
    </xf>
    <xf numFmtId="0" fontId="21" fillId="0" borderId="63" xfId="0" applyFont="1" applyBorder="1" applyProtection="1"/>
    <xf numFmtId="0" fontId="21" fillId="0" borderId="58" xfId="0" applyFont="1" applyBorder="1" applyAlignment="1" applyProtection="1">
      <alignment vertical="top" wrapText="1"/>
    </xf>
    <xf numFmtId="0" fontId="21" fillId="0" borderId="22" xfId="0" applyFont="1" applyBorder="1" applyAlignment="1" applyProtection="1">
      <alignment horizontal="center" vertical="center" wrapText="1"/>
    </xf>
    <xf numFmtId="0" fontId="21" fillId="0" borderId="22" xfId="0" applyFont="1" applyBorder="1" applyAlignment="1" applyProtection="1">
      <alignment horizontal="center" vertical="center"/>
    </xf>
    <xf numFmtId="0" fontId="5" fillId="9" borderId="2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>
      <alignment horizontal="center"/>
    </xf>
    <xf numFmtId="0" fontId="45" fillId="0" borderId="0" xfId="0" applyFont="1"/>
    <xf numFmtId="0" fontId="45" fillId="6" borderId="0" xfId="0" applyFont="1" applyFill="1"/>
    <xf numFmtId="0" fontId="5" fillId="6" borderId="0" xfId="0" applyFont="1" applyFill="1" applyBorder="1" applyAlignment="1" applyProtection="1">
      <alignment horizontal="left"/>
    </xf>
    <xf numFmtId="11" fontId="0" fillId="6" borderId="0" xfId="0" applyNumberFormat="1" applyFill="1" applyBorder="1" applyAlignment="1" applyProtection="1">
      <alignment horizontal="center"/>
    </xf>
    <xf numFmtId="0" fontId="0" fillId="6" borderId="0" xfId="0" applyFill="1" applyBorder="1" applyProtection="1"/>
    <xf numFmtId="0" fontId="0" fillId="6" borderId="0" xfId="0" applyFill="1" applyProtection="1"/>
    <xf numFmtId="0" fontId="10" fillId="6" borderId="0" xfId="0" applyFont="1" applyFill="1" applyBorder="1" applyAlignment="1" applyProtection="1">
      <alignment horizontal="center" vertical="center"/>
    </xf>
    <xf numFmtId="0" fontId="5" fillId="18" borderId="2" xfId="0" applyFont="1" applyFill="1" applyBorder="1"/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vertical="center" textRotation="90"/>
    </xf>
    <xf numFmtId="0" fontId="10" fillId="0" borderId="13" xfId="0" applyFont="1" applyFill="1" applyBorder="1" applyAlignment="1" applyProtection="1">
      <alignment horizontal="left" vertical="center"/>
    </xf>
    <xf numFmtId="0" fontId="10" fillId="0" borderId="14" xfId="0" applyFont="1" applyFill="1" applyBorder="1" applyAlignment="1" applyProtection="1">
      <alignment horizontal="left" vertical="center"/>
    </xf>
    <xf numFmtId="0" fontId="10" fillId="0" borderId="15" xfId="0" applyFont="1" applyFill="1" applyBorder="1" applyAlignment="1" applyProtection="1">
      <alignment horizontal="left" vertical="center"/>
    </xf>
    <xf numFmtId="0" fontId="10" fillId="0" borderId="54" xfId="0" applyFont="1" applyFill="1" applyBorder="1" applyAlignment="1" applyProtection="1">
      <alignment horizontal="left" vertical="center"/>
    </xf>
    <xf numFmtId="0" fontId="10" fillId="21" borderId="53" xfId="0" applyFont="1" applyFill="1" applyBorder="1" applyAlignment="1" applyProtection="1">
      <alignment horizontal="left" vertical="center"/>
    </xf>
    <xf numFmtId="0" fontId="0" fillId="0" borderId="22" xfId="0" applyBorder="1"/>
    <xf numFmtId="0" fontId="29" fillId="20" borderId="0" xfId="0" applyFont="1" applyFill="1" applyProtection="1"/>
    <xf numFmtId="0" fontId="21" fillId="0" borderId="46" xfId="0" applyFont="1" applyBorder="1" applyAlignment="1" applyProtection="1">
      <alignment horizontal="centerContinuous"/>
    </xf>
    <xf numFmtId="0" fontId="19" fillId="0" borderId="57" xfId="0" applyFont="1" applyBorder="1" applyProtection="1">
      <protection locked="0"/>
    </xf>
    <xf numFmtId="0" fontId="19" fillId="0" borderId="63" xfId="0" applyFont="1" applyBorder="1" applyProtection="1">
      <protection locked="0"/>
    </xf>
    <xf numFmtId="0" fontId="19" fillId="0" borderId="58" xfId="0" applyFont="1" applyBorder="1" applyProtection="1">
      <protection locked="0"/>
    </xf>
    <xf numFmtId="0" fontId="29" fillId="0" borderId="0" xfId="0" applyFont="1" applyBorder="1" applyProtection="1"/>
    <xf numFmtId="2" fontId="29" fillId="0" borderId="0" xfId="0" applyNumberFormat="1" applyFont="1" applyBorder="1" applyAlignment="1" applyProtection="1">
      <alignment horizontal="center" vertical="center"/>
    </xf>
    <xf numFmtId="0" fontId="15" fillId="0" borderId="0" xfId="0" applyFont="1" applyBorder="1" applyProtection="1"/>
    <xf numFmtId="0" fontId="48" fillId="0" borderId="0" xfId="0" applyFont="1" applyBorder="1" applyProtection="1"/>
    <xf numFmtId="0" fontId="53" fillId="0" borderId="0" xfId="0" applyFont="1" applyBorder="1" applyProtection="1"/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15" fontId="0" fillId="0" borderId="2" xfId="0" applyNumberFormat="1" applyBorder="1" applyAlignment="1">
      <alignment horizontal="center" vertical="center"/>
    </xf>
    <xf numFmtId="1" fontId="20" fillId="0" borderId="2" xfId="0" applyNumberFormat="1" applyFont="1" applyFill="1" applyBorder="1" applyAlignment="1" applyProtection="1">
      <alignment horizontal="centerContinuous" vertical="center"/>
    </xf>
    <xf numFmtId="1" fontId="21" fillId="0" borderId="2" xfId="0" applyNumberFormat="1" applyFont="1" applyBorder="1" applyAlignment="1" applyProtection="1">
      <alignment horizontal="centerContinuous"/>
    </xf>
    <xf numFmtId="0" fontId="0" fillId="0" borderId="2" xfId="0" quotePrefix="1" applyBorder="1" applyAlignment="1">
      <alignment horizontal="left"/>
    </xf>
    <xf numFmtId="0" fontId="0" fillId="0" borderId="2" xfId="0" applyBorder="1" applyAlignment="1">
      <alignment horizontal="centerContinuous"/>
    </xf>
    <xf numFmtId="164" fontId="23" fillId="0" borderId="59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wrapText="1"/>
    </xf>
    <xf numFmtId="0" fontId="49" fillId="0" borderId="0" xfId="0" applyFont="1" applyFill="1" applyBorder="1" applyAlignment="1" applyProtection="1">
      <alignment horizontal="left"/>
    </xf>
    <xf numFmtId="0" fontId="31" fillId="0" borderId="0" xfId="4" applyFont="1" applyBorder="1" applyProtection="1"/>
    <xf numFmtId="0" fontId="32" fillId="0" borderId="0" xfId="4" applyFont="1" applyFill="1" applyBorder="1" applyAlignment="1" applyProtection="1">
      <alignment horizontal="center"/>
    </xf>
    <xf numFmtId="0" fontId="21" fillId="0" borderId="0" xfId="0" applyFont="1" applyAlignment="1" applyProtection="1">
      <alignment wrapText="1"/>
    </xf>
    <xf numFmtId="0" fontId="48" fillId="0" borderId="0" xfId="0" applyFont="1" applyAlignment="1" applyProtection="1">
      <alignment vertical="top" wrapText="1"/>
    </xf>
    <xf numFmtId="0" fontId="21" fillId="16" borderId="2" xfId="0" applyFont="1" applyFill="1" applyBorder="1" applyAlignment="1" applyProtection="1">
      <alignment horizontal="center" vertical="top" wrapText="1"/>
      <protection locked="0"/>
    </xf>
    <xf numFmtId="0" fontId="5" fillId="0" borderId="38" xfId="0" applyFont="1" applyBorder="1" applyAlignment="1" applyProtection="1">
      <alignment horizontal="left" vertical="center"/>
    </xf>
    <xf numFmtId="0" fontId="5" fillId="0" borderId="46" xfId="0" applyFont="1" applyBorder="1" applyAlignment="1" applyProtection="1">
      <alignment horizontal="left" vertical="center"/>
    </xf>
    <xf numFmtId="0" fontId="5" fillId="0" borderId="50" xfId="0" applyFont="1" applyBorder="1" applyAlignment="1" applyProtection="1">
      <alignment horizontal="left" vertical="center"/>
    </xf>
    <xf numFmtId="0" fontId="5" fillId="0" borderId="51" xfId="0" applyFont="1" applyBorder="1" applyAlignment="1" applyProtection="1">
      <alignment horizontal="left" vertical="center"/>
    </xf>
    <xf numFmtId="0" fontId="21" fillId="16" borderId="7" xfId="0" applyFont="1" applyFill="1" applyBorder="1" applyAlignment="1" applyProtection="1">
      <alignment horizontal="center" vertical="center" wrapText="1"/>
      <protection locked="0"/>
    </xf>
    <xf numFmtId="0" fontId="21" fillId="16" borderId="4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left"/>
    </xf>
    <xf numFmtId="0" fontId="21" fillId="0" borderId="2" xfId="0" applyFont="1" applyBorder="1" applyAlignment="1" applyProtection="1">
      <alignment horizontal="center"/>
    </xf>
    <xf numFmtId="0" fontId="34" fillId="0" borderId="2" xfId="0" applyFont="1" applyBorder="1" applyAlignment="1" applyProtection="1">
      <alignment horizontal="center"/>
    </xf>
    <xf numFmtId="0" fontId="21" fillId="0" borderId="56" xfId="0" applyFont="1" applyFill="1" applyBorder="1" applyAlignment="1" applyProtection="1">
      <alignment horizontal="center" vertical="top"/>
    </xf>
    <xf numFmtId="0" fontId="21" fillId="0" borderId="2" xfId="0" applyFont="1" applyFill="1" applyBorder="1" applyAlignment="1" applyProtection="1">
      <alignment horizontal="center" vertical="center" wrapText="1"/>
    </xf>
    <xf numFmtId="1" fontId="21" fillId="0" borderId="2" xfId="0" applyNumberFormat="1" applyFont="1" applyFill="1" applyBorder="1" applyAlignment="1" applyProtection="1">
      <alignment horizontal="center"/>
    </xf>
    <xf numFmtId="164" fontId="21" fillId="0" borderId="2" xfId="0" applyNumberFormat="1" applyFont="1" applyFill="1" applyBorder="1" applyAlignment="1" applyProtection="1">
      <alignment horizontal="center"/>
    </xf>
    <xf numFmtId="0" fontId="21" fillId="6" borderId="2" xfId="0" applyFont="1" applyFill="1" applyBorder="1" applyAlignment="1" applyProtection="1">
      <alignment horizontal="center" vertical="center"/>
      <protection locked="0"/>
    </xf>
    <xf numFmtId="0" fontId="21" fillId="7" borderId="2" xfId="0" applyFont="1" applyFill="1" applyBorder="1" applyAlignment="1" applyProtection="1">
      <alignment horizontal="center"/>
    </xf>
    <xf numFmtId="0" fontId="21" fillId="7" borderId="7" xfId="0" applyFont="1" applyFill="1" applyBorder="1" applyAlignment="1" applyProtection="1">
      <alignment horizontal="center"/>
    </xf>
    <xf numFmtId="0" fontId="21" fillId="7" borderId="13" xfId="0" applyFont="1" applyFill="1" applyBorder="1" applyAlignment="1" applyProtection="1">
      <alignment horizontal="center"/>
    </xf>
    <xf numFmtId="0" fontId="21" fillId="7" borderId="4" xfId="0" applyFont="1" applyFill="1" applyBorder="1" applyAlignment="1" applyProtection="1">
      <alignment horizontal="center"/>
    </xf>
    <xf numFmtId="0" fontId="21" fillId="7" borderId="2" xfId="0" applyFont="1" applyFill="1" applyBorder="1" applyAlignment="1" applyProtection="1">
      <alignment horizontal="center" vertical="center"/>
    </xf>
    <xf numFmtId="0" fontId="35" fillId="0" borderId="2" xfId="0" applyFont="1" applyBorder="1" applyAlignment="1" applyProtection="1">
      <alignment horizontal="center"/>
    </xf>
    <xf numFmtId="0" fontId="21" fillId="0" borderId="2" xfId="0" applyFont="1" applyBorder="1" applyAlignment="1" applyProtection="1">
      <alignment horizontal="center" vertical="center"/>
    </xf>
    <xf numFmtId="9" fontId="23" fillId="0" borderId="7" xfId="0" applyNumberFormat="1" applyFont="1" applyBorder="1" applyAlignment="1" applyProtection="1">
      <alignment horizontal="center"/>
    </xf>
    <xf numFmtId="0" fontId="23" fillId="0" borderId="13" xfId="0" applyFont="1" applyBorder="1" applyAlignment="1" applyProtection="1">
      <alignment horizontal="center"/>
    </xf>
    <xf numFmtId="0" fontId="23" fillId="0" borderId="4" xfId="0" applyFont="1" applyBorder="1" applyAlignment="1" applyProtection="1">
      <alignment horizontal="center"/>
    </xf>
    <xf numFmtId="0" fontId="23" fillId="0" borderId="7" xfId="0" applyFont="1" applyBorder="1" applyAlignment="1" applyProtection="1">
      <alignment horizontal="center"/>
    </xf>
    <xf numFmtId="0" fontId="21" fillId="18" borderId="2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32" fillId="0" borderId="24" xfId="4" applyFont="1" applyFill="1" applyBorder="1" applyAlignment="1" applyProtection="1">
      <alignment horizontal="center"/>
    </xf>
    <xf numFmtId="0" fontId="32" fillId="0" borderId="25" xfId="4" applyFont="1" applyFill="1" applyBorder="1" applyAlignment="1" applyProtection="1">
      <alignment horizontal="center"/>
    </xf>
    <xf numFmtId="0" fontId="20" fillId="17" borderId="16" xfId="0" applyFont="1" applyFill="1" applyBorder="1" applyAlignment="1" applyProtection="1">
      <alignment horizontal="center"/>
    </xf>
    <xf numFmtId="0" fontId="5" fillId="7" borderId="16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/>
    </xf>
    <xf numFmtId="0" fontId="0" fillId="7" borderId="2" xfId="0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/>
    </xf>
    <xf numFmtId="0" fontId="0" fillId="11" borderId="2" xfId="0" applyFill="1" applyBorder="1" applyAlignment="1" applyProtection="1">
      <alignment horizontal="center"/>
    </xf>
    <xf numFmtId="0" fontId="0" fillId="0" borderId="11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 textRotation="90"/>
    </xf>
    <xf numFmtId="0" fontId="0" fillId="0" borderId="18" xfId="0" applyBorder="1" applyAlignment="1">
      <alignment horizontal="center" vertical="center" textRotation="90"/>
    </xf>
    <xf numFmtId="0" fontId="0" fillId="0" borderId="48" xfId="0" applyBorder="1" applyAlignment="1">
      <alignment horizontal="center" vertical="top" textRotation="90"/>
    </xf>
    <xf numFmtId="0" fontId="21" fillId="15" borderId="19" xfId="0" applyFont="1" applyFill="1" applyBorder="1" applyAlignment="1">
      <alignment horizontal="center"/>
    </xf>
    <xf numFmtId="0" fontId="21" fillId="15" borderId="20" xfId="0" applyFont="1" applyFill="1" applyBorder="1" applyAlignment="1">
      <alignment horizontal="center"/>
    </xf>
    <xf numFmtId="0" fontId="21" fillId="15" borderId="21" xfId="0" applyFont="1" applyFill="1" applyBorder="1" applyAlignment="1">
      <alignment horizontal="center"/>
    </xf>
    <xf numFmtId="0" fontId="21" fillId="7" borderId="5" xfId="0" applyFont="1" applyFill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8" borderId="2" xfId="0" applyFont="1" applyFill="1" applyBorder="1" applyAlignment="1" applyProtection="1">
      <alignment horizontal="center"/>
    </xf>
    <xf numFmtId="0" fontId="0" fillId="5" borderId="2" xfId="0" applyFill="1" applyBorder="1" applyAlignment="1" applyProtection="1">
      <alignment horizontal="center"/>
    </xf>
    <xf numFmtId="0" fontId="0" fillId="0" borderId="11" xfId="0" applyFill="1" applyBorder="1" applyAlignment="1">
      <alignment horizontal="center" vertical="center" textRotation="90"/>
    </xf>
    <xf numFmtId="0" fontId="0" fillId="0" borderId="5" xfId="0" applyFill="1" applyBorder="1" applyAlignment="1">
      <alignment horizontal="center" vertical="center" textRotation="90"/>
    </xf>
    <xf numFmtId="0" fontId="0" fillId="5" borderId="2" xfId="2" applyFont="1" applyFill="1" applyBorder="1" applyAlignment="1" applyProtection="1">
      <alignment horizont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right" vertical="center" textRotation="90"/>
    </xf>
    <xf numFmtId="0" fontId="0" fillId="0" borderId="2" xfId="0" applyBorder="1" applyAlignment="1">
      <alignment horizontal="right" vertical="center" textRotation="90"/>
    </xf>
    <xf numFmtId="0" fontId="13" fillId="0" borderId="11" xfId="0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right" vertical="center" textRotation="90"/>
    </xf>
    <xf numFmtId="0" fontId="0" fillId="0" borderId="3" xfId="0" applyFill="1" applyBorder="1" applyAlignment="1">
      <alignment horizontal="center" vertical="center" textRotation="90"/>
    </xf>
    <xf numFmtId="0" fontId="0" fillId="0" borderId="8" xfId="0" applyFill="1" applyBorder="1" applyAlignment="1">
      <alignment horizontal="center" vertical="center" textRotation="90"/>
    </xf>
    <xf numFmtId="0" fontId="5" fillId="0" borderId="3" xfId="0" applyFont="1" applyFill="1" applyBorder="1" applyAlignment="1" applyProtection="1">
      <alignment horizontal="center" vertical="center"/>
    </xf>
  </cellXfs>
  <cellStyles count="6">
    <cellStyle name="Comma 2" xfId="3" xr:uid="{1A6A82C9-401E-4797-97F9-4D3562DBB2BD}"/>
    <cellStyle name="Input" xfId="2" builtinId="20"/>
    <cellStyle name="Normal" xfId="0" builtinId="0"/>
    <cellStyle name="Normal 2" xfId="4" xr:uid="{1F10CF83-A8B6-4E66-9159-5A527B0EBB21}"/>
    <cellStyle name="Normal 2 2" xfId="5" xr:uid="{F9F992F1-5675-47FF-9BFC-9444263E7B49}"/>
    <cellStyle name="Percent" xfId="1" builtinId="5"/>
  </cellStyles>
  <dxfs count="85"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numFmt numFmtId="2" formatCode="0.0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" formatCode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 tint="0.499984740745262"/>
      </font>
    </dxf>
    <dxf>
      <font>
        <color theme="1" tint="0.499984740745262"/>
      </font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Drop" dropStyle="combo" dx="37" fmlaLink="AT75" fmlaRange="wb_dropdown" noThreeD="1" sel="11" val="4"/>
</file>

<file path=xl/ctrlProps/ctrlProp3.xml><?xml version="1.0" encoding="utf-8"?>
<formControlPr xmlns="http://schemas.microsoft.com/office/spreadsheetml/2009/9/main" objectType="Drop" dropStyle="combo" dx="37" fmlaLink="AT76" fmlaRange="ballast_dropdown" noThreeD="1" sel="1" val="0"/>
</file>

<file path=xl/ctrlProps/ctrlProp4.xml><?xml version="1.0" encoding="utf-8"?>
<formControlPr xmlns="http://schemas.microsoft.com/office/spreadsheetml/2009/9/main" objectType="Drop" dropStyle="combo" dx="37" fmlaLink="AT78" fmlaRange="tube_dropdown" noThreeD="1" sel="17" val="12"/>
</file>

<file path=xl/ctrlProps/ctrlProp5.xml><?xml version="1.0" encoding="utf-8"?>
<formControlPr xmlns="http://schemas.microsoft.com/office/spreadsheetml/2009/9/main" objectType="Drop" dropStyle="combo" dx="37" fmlaLink="AT72" fmlaRange="fabric_dropdown" noThreeD="1" sel="109" val="108"/>
</file>

<file path=xl/ctrlProps/ctrlProp6.xml><?xml version="1.0" encoding="utf-8"?>
<formControlPr xmlns="http://schemas.microsoft.com/office/spreadsheetml/2009/9/main" objectType="Drop" dropStyle="combo" dx="37" fmlaLink="AT77" fmlaRange="pwa_list" noThreeD="1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25686</xdr:colOff>
      <xdr:row>4</xdr:row>
      <xdr:rowOff>5138</xdr:rowOff>
    </xdr:from>
    <xdr:to>
      <xdr:col>25</xdr:col>
      <xdr:colOff>10276</xdr:colOff>
      <xdr:row>9</xdr:row>
      <xdr:rowOff>56508</xdr:rowOff>
    </xdr:to>
    <xdr:sp macro="" textlink="$W$9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8428" y="477749"/>
          <a:ext cx="2784297" cy="3287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/>
        <a:lstStyle/>
        <a:p>
          <a:pPr algn="l"/>
          <a:fld id="{53C3C381-BAFD-45AC-890B-535D39A8DF21}" type="TxLink">
            <a:rPr lang="en-US" sz="800" b="0" i="0" u="none" strike="noStrike">
              <a:solidFill>
                <a:srgbClr val="000000"/>
              </a:solidFill>
              <a:latin typeface="Calibri"/>
            </a:rPr>
            <a:pPr algn="l"/>
            <a:t>This considers torque only and not other system limitations</a:t>
          </a:fld>
          <a:endParaRPr lang="en-AU" sz="1100" b="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38</xdr:row>
          <xdr:rowOff>142875</xdr:rowOff>
        </xdr:from>
        <xdr:to>
          <xdr:col>11</xdr:col>
          <xdr:colOff>2943225</xdr:colOff>
          <xdr:row>40</xdr:row>
          <xdr:rowOff>152400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</a:rPr>
                <a:t>CLEAR CELLS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22</xdr:col>
      <xdr:colOff>87330</xdr:colOff>
      <xdr:row>1</xdr:row>
      <xdr:rowOff>41098</xdr:rowOff>
    </xdr:from>
    <xdr:to>
      <xdr:col>22</xdr:col>
      <xdr:colOff>755149</xdr:colOff>
      <xdr:row>2</xdr:row>
      <xdr:rowOff>75748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072" y="41098"/>
          <a:ext cx="667819" cy="157940"/>
        </a:xfrm>
        <a:prstGeom prst="rect">
          <a:avLst/>
        </a:prstGeom>
      </xdr:spPr>
    </xdr:pic>
    <xdr:clientData/>
  </xdr:twoCellAnchor>
  <xdr:twoCellAnchor editAs="absolute">
    <xdr:from>
      <xdr:col>22</xdr:col>
      <xdr:colOff>219054</xdr:colOff>
      <xdr:row>8</xdr:row>
      <xdr:rowOff>176951</xdr:rowOff>
    </xdr:from>
    <xdr:to>
      <xdr:col>42</xdr:col>
      <xdr:colOff>570214</xdr:colOff>
      <xdr:row>16</xdr:row>
      <xdr:rowOff>185260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/>
        <a:srcRect r="2411"/>
        <a:stretch/>
      </xdr:blipFill>
      <xdr:spPr>
        <a:xfrm flipH="1">
          <a:off x="321796" y="736893"/>
          <a:ext cx="9212620" cy="1528884"/>
        </a:xfrm>
        <a:prstGeom prst="rect">
          <a:avLst/>
        </a:prstGeom>
      </xdr:spPr>
    </xdr:pic>
    <xdr:clientData/>
  </xdr:twoCellAnchor>
  <xdr:twoCellAnchor editAs="oneCell">
    <xdr:from>
      <xdr:col>23</xdr:col>
      <xdr:colOff>310681</xdr:colOff>
      <xdr:row>10</xdr:row>
      <xdr:rowOff>76409</xdr:rowOff>
    </xdr:from>
    <xdr:to>
      <xdr:col>23</xdr:col>
      <xdr:colOff>1340990</xdr:colOff>
      <xdr:row>11</xdr:row>
      <xdr:rowOff>38233</xdr:rowOff>
    </xdr:to>
    <xdr:sp macro="" textlink="$W$7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spect="1"/>
        </xdr:cNvSpPr>
      </xdr:nvSpPr>
      <xdr:spPr>
        <a:xfrm>
          <a:off x="1322685" y="970261"/>
          <a:ext cx="1030309" cy="1518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8AFED1F-C703-4D21-A4B3-0D7AB56308C4}" type="TxLink">
            <a:rPr lang="en-US" sz="1000" b="0" i="0" u="none" strike="noStrike">
              <a:ln>
                <a:solidFill>
                  <a:sysClr val="windowText" lastClr="000000"/>
                </a:solidFill>
              </a:ln>
              <a:solidFill>
                <a:srgbClr val="000000"/>
              </a:solidFill>
              <a:latin typeface="+mn-lt"/>
            </a:rPr>
            <a:pPr algn="ctr"/>
            <a:t>Shade 1</a:t>
          </a:fld>
          <a:endParaRPr lang="en-AU" sz="1000">
            <a:ln>
              <a:solidFill>
                <a:sysClr val="windowText" lastClr="000000"/>
              </a:solidFill>
            </a:ln>
            <a:latin typeface="+mn-lt"/>
          </a:endParaRPr>
        </a:p>
      </xdr:txBody>
    </xdr:sp>
    <xdr:clientData/>
  </xdr:twoCellAnchor>
  <xdr:twoCellAnchor editAs="oneCell">
    <xdr:from>
      <xdr:col>27</xdr:col>
      <xdr:colOff>372485</xdr:colOff>
      <xdr:row>10</xdr:row>
      <xdr:rowOff>94278</xdr:rowOff>
    </xdr:from>
    <xdr:to>
      <xdr:col>27</xdr:col>
      <xdr:colOff>1403489</xdr:colOff>
      <xdr:row>11</xdr:row>
      <xdr:rowOff>56102</xdr:rowOff>
    </xdr:to>
    <xdr:sp macro="" textlink="$AA$7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spect="1"/>
        </xdr:cNvSpPr>
      </xdr:nvSpPr>
      <xdr:spPr>
        <a:xfrm>
          <a:off x="4338310" y="988130"/>
          <a:ext cx="1031004" cy="1518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BE41ABF8-4925-4651-B099-9C5E7CEC0725}" type="TxLink">
            <a:rPr lang="en-US" sz="1000" b="0" i="0" u="none" strike="noStrike">
              <a:ln>
                <a:solidFill>
                  <a:sysClr val="windowText" lastClr="000000"/>
                </a:solidFill>
              </a:ln>
              <a:solidFill>
                <a:srgbClr val="000000"/>
              </a:solidFill>
              <a:latin typeface="Calibri"/>
            </a:rPr>
            <a:pPr algn="ctr"/>
            <a:t>Shade 2</a:t>
          </a:fld>
          <a:endParaRPr lang="en-AU" sz="48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 editAs="oneCell">
    <xdr:from>
      <xdr:col>25</xdr:col>
      <xdr:colOff>135273</xdr:colOff>
      <xdr:row>3</xdr:row>
      <xdr:rowOff>128427</xdr:rowOff>
    </xdr:from>
    <xdr:to>
      <xdr:col>26</xdr:col>
      <xdr:colOff>703780</xdr:colOff>
      <xdr:row>8</xdr:row>
      <xdr:rowOff>174128</xdr:rowOff>
    </xdr:to>
    <xdr:sp macro="" textlink="$W$8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spect="1"/>
        </xdr:cNvSpPr>
      </xdr:nvSpPr>
      <xdr:spPr>
        <a:xfrm>
          <a:off x="3037722" y="452063"/>
          <a:ext cx="722620" cy="2820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F961D51-8AF2-4BB6-982F-056953A9B13B}" type="TxLink">
            <a:rPr lang="en-US" sz="1000" b="1" i="0" u="none" strike="noStrike">
              <a:solidFill>
                <a:srgbClr val="000000"/>
              </a:solidFill>
              <a:latin typeface="Calibri"/>
            </a:rPr>
            <a:pPr algn="ctr"/>
            <a:t>LINK 1</a:t>
          </a:fld>
          <a:endParaRPr lang="en-AU" sz="2400" b="1"/>
        </a:p>
      </xdr:txBody>
    </xdr:sp>
    <xdr:clientData/>
  </xdr:twoCellAnchor>
  <xdr:twoCellAnchor editAs="oneCell">
    <xdr:from>
      <xdr:col>29</xdr:col>
      <xdr:colOff>147129</xdr:colOff>
      <xdr:row>3</xdr:row>
      <xdr:rowOff>154047</xdr:rowOff>
    </xdr:from>
    <xdr:to>
      <xdr:col>30</xdr:col>
      <xdr:colOff>683231</xdr:colOff>
      <xdr:row>8</xdr:row>
      <xdr:rowOff>139518</xdr:rowOff>
    </xdr:to>
    <xdr:sp macro="" textlink="$AA$8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spect="1"/>
        </xdr:cNvSpPr>
      </xdr:nvSpPr>
      <xdr:spPr>
        <a:xfrm>
          <a:off x="6003399" y="477683"/>
          <a:ext cx="690214" cy="2269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3376532-D34F-43E0-AEF2-443AD8BE6535}" type="TxLink">
            <a:rPr lang="en-US" sz="1000" b="1" i="0" u="none" strike="noStrike">
              <a:solidFill>
                <a:srgbClr val="000000"/>
              </a:solidFill>
              <a:latin typeface="Calibri"/>
            </a:rPr>
            <a:pPr algn="ctr"/>
            <a:t>LINK 2</a:t>
          </a:fld>
          <a:endParaRPr lang="en-AU" sz="4800" b="1"/>
        </a:p>
      </xdr:txBody>
    </xdr:sp>
    <xdr:clientData/>
  </xdr:twoCellAnchor>
  <xdr:twoCellAnchor editAs="oneCell">
    <xdr:from>
      <xdr:col>31</xdr:col>
      <xdr:colOff>457842</xdr:colOff>
      <xdr:row>10</xdr:row>
      <xdr:rowOff>85525</xdr:rowOff>
    </xdr:from>
    <xdr:to>
      <xdr:col>32</xdr:col>
      <xdr:colOff>36008</xdr:colOff>
      <xdr:row>11</xdr:row>
      <xdr:rowOff>47349</xdr:rowOff>
    </xdr:to>
    <xdr:sp macro="" textlink="$AE$7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spect="1"/>
        </xdr:cNvSpPr>
      </xdr:nvSpPr>
      <xdr:spPr>
        <a:xfrm>
          <a:off x="7377487" y="979377"/>
          <a:ext cx="1026822" cy="1518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DCAA465-8FA3-422E-AE53-2182CF9C13CF}" type="TxLink">
            <a:rPr lang="en-US" sz="1000" b="0" i="0" u="none" strike="noStrike">
              <a:ln>
                <a:solidFill>
                  <a:sysClr val="windowText" lastClr="000000"/>
                </a:solidFill>
              </a:ln>
              <a:solidFill>
                <a:srgbClr val="000000"/>
              </a:solidFill>
              <a:latin typeface="Calibri"/>
            </a:rPr>
            <a:pPr algn="ctr"/>
            <a:t>Shade 3</a:t>
          </a:fld>
          <a:endParaRPr lang="en-AU" sz="88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34</xdr:col>
      <xdr:colOff>92461</xdr:colOff>
      <xdr:row>8</xdr:row>
      <xdr:rowOff>164385</xdr:rowOff>
    </xdr:from>
    <xdr:to>
      <xdr:col>41</xdr:col>
      <xdr:colOff>118153</xdr:colOff>
      <xdr:row>16</xdr:row>
      <xdr:rowOff>172694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/>
        <a:srcRect l="7311" t="-672" r="31594" b="672"/>
        <a:stretch/>
      </xdr:blipFill>
      <xdr:spPr>
        <a:xfrm flipH="1">
          <a:off x="9056663" y="724327"/>
          <a:ext cx="5779220" cy="1528884"/>
        </a:xfrm>
        <a:prstGeom prst="rect">
          <a:avLst/>
        </a:prstGeom>
      </xdr:spPr>
    </xdr:pic>
    <xdr:clientData/>
  </xdr:twoCellAnchor>
  <xdr:twoCellAnchor editAs="oneCell">
    <xdr:from>
      <xdr:col>41</xdr:col>
      <xdr:colOff>66782</xdr:colOff>
      <xdr:row>8</xdr:row>
      <xdr:rowOff>164385</xdr:rowOff>
    </xdr:from>
    <xdr:to>
      <xdr:col>42</xdr:col>
      <xdr:colOff>539392</xdr:colOff>
      <xdr:row>16</xdr:row>
      <xdr:rowOff>172694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/>
        <a:srcRect l="904" t="-672" r="93394" b="672"/>
        <a:stretch/>
      </xdr:blipFill>
      <xdr:spPr>
        <a:xfrm flipH="1">
          <a:off x="14784512" y="724327"/>
          <a:ext cx="539392" cy="1528884"/>
        </a:xfrm>
        <a:prstGeom prst="rect">
          <a:avLst/>
        </a:prstGeom>
      </xdr:spPr>
    </xdr:pic>
    <xdr:clientData/>
  </xdr:twoCellAnchor>
  <xdr:twoCellAnchor>
    <xdr:from>
      <xdr:col>39</xdr:col>
      <xdr:colOff>463448</xdr:colOff>
      <xdr:row>10</xdr:row>
      <xdr:rowOff>79479</xdr:rowOff>
    </xdr:from>
    <xdr:to>
      <xdr:col>40</xdr:col>
      <xdr:colOff>86237</xdr:colOff>
      <xdr:row>11</xdr:row>
      <xdr:rowOff>41154</xdr:rowOff>
    </xdr:to>
    <xdr:sp macro="" textlink="$AM$7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spect="1"/>
        </xdr:cNvSpPr>
      </xdr:nvSpPr>
      <xdr:spPr>
        <a:xfrm>
          <a:off x="13290733" y="973331"/>
          <a:ext cx="1071446" cy="1517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24E985F-D6C2-4B4E-941D-C96B87CC8B9C}" type="TxLink">
            <a:rPr lang="en-US" sz="1000" b="0" i="0" u="none" strike="noStrike">
              <a:ln>
                <a:solidFill>
                  <a:sysClr val="windowText" lastClr="000000"/>
                </a:solidFill>
              </a:ln>
              <a:solidFill>
                <a:srgbClr val="000000"/>
              </a:solidFill>
              <a:latin typeface="Calibri"/>
            </a:rPr>
            <a:pPr algn="ctr"/>
            <a:t>Shade 5</a:t>
          </a:fld>
          <a:endParaRPr lang="en-AU" sz="48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35</xdr:col>
      <xdr:colOff>436568</xdr:colOff>
      <xdr:row>10</xdr:row>
      <xdr:rowOff>66492</xdr:rowOff>
    </xdr:from>
    <xdr:to>
      <xdr:col>36</xdr:col>
      <xdr:colOff>63310</xdr:colOff>
      <xdr:row>11</xdr:row>
      <xdr:rowOff>28167</xdr:rowOff>
    </xdr:to>
    <xdr:sp macro="" textlink="$AI$7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spect="1"/>
        </xdr:cNvSpPr>
      </xdr:nvSpPr>
      <xdr:spPr>
        <a:xfrm>
          <a:off x="10310033" y="960344"/>
          <a:ext cx="1075398" cy="1517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B9E6F71-7C3C-4AFF-838E-8F4A09131D8C}" type="TxLink">
            <a:rPr lang="en-US" sz="1000" b="0" i="0" u="none" strike="noStrike">
              <a:ln>
                <a:solidFill>
                  <a:sysClr val="windowText" lastClr="000000"/>
                </a:solidFill>
              </a:ln>
              <a:solidFill>
                <a:srgbClr val="000000"/>
              </a:solidFill>
              <a:latin typeface="Calibri"/>
            </a:rPr>
            <a:pPr algn="ctr"/>
            <a:t>Shade 4</a:t>
          </a:fld>
          <a:endParaRPr lang="en-AU" sz="48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38</xdr:col>
      <xdr:colOff>86159</xdr:colOff>
      <xdr:row>3</xdr:row>
      <xdr:rowOff>156527</xdr:rowOff>
    </xdr:from>
    <xdr:to>
      <xdr:col>38</xdr:col>
      <xdr:colOff>734602</xdr:colOff>
      <xdr:row>8</xdr:row>
      <xdr:rowOff>177185</xdr:rowOff>
    </xdr:to>
    <xdr:sp macro="" textlink="$AI$8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spect="1"/>
        </xdr:cNvSpPr>
      </xdr:nvSpPr>
      <xdr:spPr>
        <a:xfrm>
          <a:off x="12004181" y="480163"/>
          <a:ext cx="648443" cy="2107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7E90E8D-0F30-4620-B6BC-9FB299AFE6DB}" type="TxLink">
            <a:rPr lang="en-US" sz="1000" b="1" i="0" u="none" strike="noStrike">
              <a:solidFill>
                <a:srgbClr val="000000"/>
              </a:solidFill>
              <a:latin typeface="Calibri"/>
            </a:rPr>
            <a:pPr algn="ctr"/>
            <a:t>LINK 4</a:t>
          </a:fld>
          <a:endParaRPr lang="en-AU" sz="9600" b="1"/>
        </a:p>
      </xdr:txBody>
    </xdr:sp>
    <xdr:clientData/>
  </xdr:twoCellAnchor>
  <xdr:twoCellAnchor>
    <xdr:from>
      <xdr:col>34</xdr:col>
      <xdr:colOff>101884</xdr:colOff>
      <xdr:row>3</xdr:row>
      <xdr:rowOff>51371</xdr:rowOff>
    </xdr:from>
    <xdr:to>
      <xdr:col>34</xdr:col>
      <xdr:colOff>821932</xdr:colOff>
      <xdr:row>8</xdr:row>
      <xdr:rowOff>188956</xdr:rowOff>
    </xdr:to>
    <xdr:sp macro="" textlink="$AE$8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spect="1"/>
        </xdr:cNvSpPr>
      </xdr:nvSpPr>
      <xdr:spPr>
        <a:xfrm>
          <a:off x="9066086" y="375007"/>
          <a:ext cx="720048" cy="3276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1E5F312-1F63-44DF-BD54-998B6742F6BD}" type="TxLink">
            <a:rPr lang="en-US" sz="1000" b="1" i="0" u="none" strike="noStrike">
              <a:solidFill>
                <a:srgbClr val="000000"/>
              </a:solidFill>
              <a:latin typeface="Calibri"/>
            </a:rPr>
            <a:pPr algn="ctr"/>
            <a:t>LINK 3</a:t>
          </a:fld>
          <a:endParaRPr lang="en-AU" sz="4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74</xdr:row>
          <xdr:rowOff>0</xdr:rowOff>
        </xdr:from>
        <xdr:to>
          <xdr:col>29</xdr:col>
          <xdr:colOff>0</xdr:colOff>
          <xdr:row>75</xdr:row>
          <xdr:rowOff>0</xdr:rowOff>
        </xdr:to>
        <xdr:sp macro="" textlink="">
          <xdr:nvSpPr>
            <xdr:cNvPr id="4101" name="Drop Dow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75</xdr:row>
          <xdr:rowOff>0</xdr:rowOff>
        </xdr:from>
        <xdr:to>
          <xdr:col>29</xdr:col>
          <xdr:colOff>0</xdr:colOff>
          <xdr:row>76</xdr:row>
          <xdr:rowOff>0</xdr:rowOff>
        </xdr:to>
        <xdr:sp macro="" textlink="">
          <xdr:nvSpPr>
            <xdr:cNvPr id="4102" name="Drop Dow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77</xdr:row>
          <xdr:rowOff>0</xdr:rowOff>
        </xdr:from>
        <xdr:to>
          <xdr:col>29</xdr:col>
          <xdr:colOff>0</xdr:colOff>
          <xdr:row>78</xdr:row>
          <xdr:rowOff>0</xdr:rowOff>
        </xdr:to>
        <xdr:sp macro="" textlink="">
          <xdr:nvSpPr>
            <xdr:cNvPr id="4103" name="Drop Down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71</xdr:row>
          <xdr:rowOff>9525</xdr:rowOff>
        </xdr:from>
        <xdr:to>
          <xdr:col>29</xdr:col>
          <xdr:colOff>0</xdr:colOff>
          <xdr:row>72</xdr:row>
          <xdr:rowOff>9525</xdr:rowOff>
        </xdr:to>
        <xdr:sp macro="" textlink="">
          <xdr:nvSpPr>
            <xdr:cNvPr id="4106" name="Drop Down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75</xdr:row>
          <xdr:rowOff>219075</xdr:rowOff>
        </xdr:from>
        <xdr:to>
          <xdr:col>29</xdr:col>
          <xdr:colOff>0</xdr:colOff>
          <xdr:row>77</xdr:row>
          <xdr:rowOff>0</xdr:rowOff>
        </xdr:to>
        <xdr:sp macro="" textlink="">
          <xdr:nvSpPr>
            <xdr:cNvPr id="4110" name="Drop Down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152400</xdr:colOff>
      <xdr:row>10</xdr:row>
      <xdr:rowOff>19050</xdr:rowOff>
    </xdr:from>
    <xdr:to>
      <xdr:col>31</xdr:col>
      <xdr:colOff>589123</xdr:colOff>
      <xdr:row>27</xdr:row>
      <xdr:rowOff>123407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7200" y="1924050"/>
          <a:ext cx="11409523" cy="3342857"/>
        </a:xfrm>
        <a:prstGeom prst="rect">
          <a:avLst/>
        </a:prstGeom>
      </xdr:spPr>
    </xdr:pic>
    <xdr:clientData/>
  </xdr:twoCellAnchor>
  <xdr:twoCellAnchor editAs="oneCell">
    <xdr:from>
      <xdr:col>1</xdr:col>
      <xdr:colOff>141516</xdr:colOff>
      <xdr:row>10</xdr:row>
      <xdr:rowOff>19050</xdr:rowOff>
    </xdr:from>
    <xdr:to>
      <xdr:col>14</xdr:col>
      <xdr:colOff>244930</xdr:colOff>
      <xdr:row>27</xdr:row>
      <xdr:rowOff>123407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9628"/>
        <a:stretch/>
      </xdr:blipFill>
      <xdr:spPr>
        <a:xfrm>
          <a:off x="751116" y="1924050"/>
          <a:ext cx="8028214" cy="33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03348-D3B8-4593-AEB0-7BE0954D9C67}">
  <sheetPr codeName="Sheet1">
    <outlinePr showOutlineSymbols="0"/>
  </sheetPr>
  <dimension ref="A1:AT156"/>
  <sheetViews>
    <sheetView showGridLines="0" showRowColHeaders="0" tabSelected="1" showOutlineSymbols="0" topLeftCell="T1" zoomScaleNormal="100" workbookViewId="0">
      <selection activeCell="AA71" sqref="AA71:AB71"/>
    </sheetView>
  </sheetViews>
  <sheetFormatPr defaultColWidth="0" defaultRowHeight="12.75" zeroHeight="1" outlineLevelRow="1" outlineLevelCol="1" x14ac:dyDescent="0.2"/>
  <cols>
    <col min="1" max="1" width="2.85546875" style="475" hidden="1" customWidth="1" outlineLevel="1"/>
    <col min="2" max="2" width="33.28515625" style="475" hidden="1" customWidth="1" outlineLevel="1"/>
    <col min="3" max="3" width="4.85546875" style="475" hidden="1" customWidth="1" outlineLevel="1"/>
    <col min="4" max="4" width="22.140625" style="475" hidden="1" customWidth="1" outlineLevel="1"/>
    <col min="5" max="5" width="9.28515625" style="475" hidden="1" customWidth="1" outlineLevel="1"/>
    <col min="6" max="6" width="6.7109375" style="475" hidden="1" customWidth="1" outlineLevel="1"/>
    <col min="7" max="8" width="4.42578125" style="475" hidden="1" customWidth="1" outlineLevel="1"/>
    <col min="9" max="9" width="1.85546875" style="475" hidden="1" customWidth="1" outlineLevel="1"/>
    <col min="10" max="10" width="26.28515625" style="475" hidden="1" customWidth="1" outlineLevel="1"/>
    <col min="11" max="11" width="20.85546875" style="475" hidden="1" customWidth="1" outlineLevel="1"/>
    <col min="12" max="12" width="41.28515625" style="475" hidden="1" customWidth="1" outlineLevel="1"/>
    <col min="13" max="13" width="30" style="475" hidden="1" customWidth="1" outlineLevel="1"/>
    <col min="14" max="14" width="4.5703125" style="475" hidden="1" customWidth="1" outlineLevel="1"/>
    <col min="15" max="15" width="37.28515625" style="475" hidden="1" customWidth="1" outlineLevel="1"/>
    <col min="16" max="16" width="22.42578125" style="475" hidden="1" customWidth="1" outlineLevel="1"/>
    <col min="17" max="17" width="18.7109375" style="475" hidden="1" customWidth="1" outlineLevel="1"/>
    <col min="18" max="19" width="5.7109375" style="475" hidden="1" customWidth="1" outlineLevel="1"/>
    <col min="20" max="20" width="1.42578125" style="475" customWidth="1" collapsed="1"/>
    <col min="21" max="21" width="10.42578125" style="475" hidden="1" customWidth="1" outlineLevel="1"/>
    <col min="22" max="22" width="18.85546875" style="475" hidden="1" customWidth="1" outlineLevel="1"/>
    <col min="23" max="23" width="12.5703125" style="475" customWidth="1" collapsed="1"/>
    <col min="24" max="24" width="20.140625" style="475" customWidth="1"/>
    <col min="25" max="25" width="6.140625" style="475" customWidth="1"/>
    <col min="26" max="26" width="2.140625" style="475" customWidth="1"/>
    <col min="27" max="27" width="12.5703125" style="475" customWidth="1"/>
    <col min="28" max="28" width="20.140625" style="475" customWidth="1"/>
    <col min="29" max="29" width="6.140625" style="475" customWidth="1"/>
    <col min="30" max="30" width="2.140625" style="475" customWidth="1"/>
    <col min="31" max="31" width="12.5703125" style="475" customWidth="1"/>
    <col min="32" max="32" width="20.140625" style="475" customWidth="1"/>
    <col min="33" max="33" width="6.140625" style="475" customWidth="1"/>
    <col min="34" max="34" width="2.140625" style="475" customWidth="1"/>
    <col min="35" max="35" width="12.5703125" style="475" hidden="1" customWidth="1" outlineLevel="1"/>
    <col min="36" max="36" width="20.140625" style="475" hidden="1" customWidth="1" outlineLevel="1"/>
    <col min="37" max="37" width="6.140625" style="475" hidden="1" customWidth="1" outlineLevel="1"/>
    <col min="38" max="38" width="2.140625" style="475" hidden="1" customWidth="1" outlineLevel="1"/>
    <col min="39" max="39" width="12.5703125" style="475" hidden="1" customWidth="1" outlineLevel="1"/>
    <col min="40" max="40" width="20.140625" style="475" hidden="1" customWidth="1" outlineLevel="1"/>
    <col min="41" max="41" width="6.140625" style="475" hidden="1" customWidth="1" outlineLevel="1"/>
    <col min="42" max="42" width="2.140625" style="475" hidden="1" customWidth="1" outlineLevel="1"/>
    <col min="43" max="43" width="13.85546875" style="475" customWidth="1" collapsed="1"/>
    <col min="44" max="45" width="9.140625" style="475" hidden="1" customWidth="1"/>
    <col min="46" max="46" width="5" style="475" hidden="1" customWidth="1"/>
    <col min="47" max="16384" width="2.42578125" style="475" hidden="1"/>
  </cols>
  <sheetData>
    <row r="1" spans="1:42" ht="6.2" customHeight="1" thickBot="1" x14ac:dyDescent="0.25"/>
    <row r="2" spans="1:42" ht="10.15" customHeight="1" thickBot="1" x14ac:dyDescent="0.25">
      <c r="A2" s="474"/>
      <c r="I2" s="475" t="s">
        <v>255</v>
      </c>
      <c r="K2" s="476"/>
      <c r="P2" s="475" t="s">
        <v>255</v>
      </c>
      <c r="R2" s="475" t="s">
        <v>255</v>
      </c>
      <c r="W2" s="477"/>
      <c r="X2" s="766" t="s">
        <v>942</v>
      </c>
      <c r="Y2" s="766"/>
      <c r="Z2" s="766"/>
      <c r="AA2" s="767"/>
      <c r="AB2" s="711" t="s">
        <v>799</v>
      </c>
      <c r="AC2" s="712">
        <v>43315</v>
      </c>
      <c r="AE2" s="680" t="s">
        <v>365</v>
      </c>
      <c r="AF2" s="673" t="s">
        <v>363</v>
      </c>
    </row>
    <row r="3" spans="1:42" ht="10.15" customHeight="1" thickBot="1" x14ac:dyDescent="0.25">
      <c r="E3" s="478"/>
      <c r="F3" s="478"/>
      <c r="G3" s="478"/>
      <c r="H3" s="478"/>
      <c r="J3" s="479" t="s">
        <v>361</v>
      </c>
      <c r="K3" s="480" t="s">
        <v>257</v>
      </c>
      <c r="L3" s="481" t="s">
        <v>258</v>
      </c>
      <c r="M3" s="792" t="s">
        <v>259</v>
      </c>
      <c r="N3" s="792"/>
      <c r="O3" s="792"/>
      <c r="P3" s="792"/>
      <c r="Q3" s="482"/>
      <c r="R3" s="483"/>
      <c r="S3" s="483"/>
      <c r="T3" s="483"/>
      <c r="V3" s="484" t="s">
        <v>361</v>
      </c>
      <c r="W3" s="485"/>
      <c r="X3" s="768"/>
      <c r="Y3" s="768"/>
      <c r="Z3" s="768"/>
      <c r="AA3" s="769"/>
      <c r="AB3" s="713" t="s">
        <v>811</v>
      </c>
      <c r="AC3" s="714">
        <v>1.7</v>
      </c>
      <c r="AE3" s="680" t="s">
        <v>274</v>
      </c>
      <c r="AF3" s="673" t="s">
        <v>256</v>
      </c>
    </row>
    <row r="4" spans="1:42" ht="11.85" customHeight="1" x14ac:dyDescent="0.2">
      <c r="B4" s="486"/>
      <c r="C4" s="486"/>
      <c r="D4" s="793"/>
      <c r="E4" s="794"/>
      <c r="F4" s="486"/>
      <c r="G4" s="486"/>
      <c r="H4" s="486"/>
      <c r="J4" s="34"/>
      <c r="K4" s="458"/>
      <c r="L4" s="487"/>
      <c r="M4" s="488" t="s">
        <v>353</v>
      </c>
      <c r="N4" s="489"/>
      <c r="O4" s="489"/>
      <c r="P4" s="487"/>
      <c r="Q4" s="482"/>
      <c r="R4" s="483"/>
      <c r="S4" s="483"/>
      <c r="T4" s="483"/>
      <c r="W4" s="760" t="s">
        <v>313</v>
      </c>
    </row>
    <row r="5" spans="1:42" ht="6.95" customHeight="1" x14ac:dyDescent="0.2">
      <c r="B5" s="761"/>
      <c r="C5" s="761"/>
      <c r="D5" s="762"/>
      <c r="E5" s="762"/>
      <c r="F5" s="761"/>
      <c r="G5" s="761"/>
      <c r="H5" s="761"/>
      <c r="J5" s="34"/>
      <c r="K5" s="458"/>
      <c r="L5" s="487"/>
      <c r="M5" s="488"/>
      <c r="N5" s="489"/>
      <c r="O5" s="489"/>
      <c r="P5" s="487"/>
      <c r="Q5" s="482"/>
      <c r="R5" s="483"/>
      <c r="S5" s="483"/>
      <c r="T5" s="483"/>
      <c r="W5" s="760"/>
    </row>
    <row r="6" spans="1:42" ht="15" hidden="1" customHeight="1" outlineLevel="1" thickBot="1" x14ac:dyDescent="0.25">
      <c r="B6" s="795" t="s">
        <v>260</v>
      </c>
      <c r="C6" s="795"/>
      <c r="D6" s="795"/>
      <c r="E6" s="795"/>
      <c r="F6" s="483"/>
      <c r="G6" s="483"/>
      <c r="H6" s="483"/>
      <c r="J6" s="34"/>
      <c r="K6" s="458"/>
      <c r="L6" s="487"/>
      <c r="M6" s="488"/>
      <c r="N6" s="489"/>
      <c r="O6" s="489"/>
      <c r="P6" s="487"/>
      <c r="Q6" s="482"/>
      <c r="R6" s="483"/>
      <c r="S6" s="483"/>
      <c r="T6" s="483"/>
      <c r="W6" s="642">
        <v>1</v>
      </c>
      <c r="X6" s="490" t="str">
        <f>$V$8&amp;" "&amp;W6&amp;" "&amp;"Torque"</f>
        <v>Link 1 Torque</v>
      </c>
      <c r="Y6" s="490"/>
      <c r="Z6" s="490"/>
      <c r="AA6" s="642">
        <v>2</v>
      </c>
      <c r="AB6" s="490" t="str">
        <f>$V$8&amp;" "&amp;AA6&amp;" "&amp;"Torque"</f>
        <v>Link 2 Torque</v>
      </c>
      <c r="AC6" s="490"/>
      <c r="AD6" s="490"/>
      <c r="AE6" s="642">
        <v>3</v>
      </c>
      <c r="AF6" s="490" t="str">
        <f>$V$8&amp;" "&amp;AE6&amp;" "&amp;"Torque"</f>
        <v>Link 3 Torque</v>
      </c>
      <c r="AG6" s="490"/>
      <c r="AH6" s="490"/>
      <c r="AI6" s="642">
        <v>4</v>
      </c>
      <c r="AJ6" s="490" t="str">
        <f>$V$8&amp;" "&amp;AI6&amp;" "&amp;"Torque"</f>
        <v>Link 4 Torque</v>
      </c>
      <c r="AK6" s="490"/>
      <c r="AL6" s="490"/>
      <c r="AM6" s="642">
        <v>5</v>
      </c>
      <c r="AN6" s="490" t="str">
        <f>$V$8&amp;" "&amp;AM6&amp;" "&amp;"Torque"</f>
        <v>Link 5 Torque</v>
      </c>
      <c r="AO6" s="490"/>
      <c r="AP6" s="490"/>
    </row>
    <row r="7" spans="1:42" ht="15" hidden="1" customHeight="1" outlineLevel="1" x14ac:dyDescent="0.2">
      <c r="B7" s="491" t="s">
        <v>261</v>
      </c>
      <c r="C7" s="492" t="s">
        <v>262</v>
      </c>
      <c r="D7" s="493" t="e">
        <f ca="1">VLOOKUP(input_wb,weight_bar_lookup,2,FALSE)</f>
        <v>#N/A</v>
      </c>
      <c r="E7" s="492" t="s">
        <v>263</v>
      </c>
      <c r="F7" s="494"/>
      <c r="G7" s="494"/>
      <c r="H7" s="494"/>
      <c r="J7" s="34"/>
      <c r="K7" s="458"/>
      <c r="L7" s="487"/>
      <c r="M7" s="488"/>
      <c r="N7" s="489"/>
      <c r="O7" s="489"/>
      <c r="P7" s="487"/>
      <c r="Q7" s="482"/>
      <c r="R7" s="483"/>
      <c r="S7" s="483"/>
      <c r="T7" s="483"/>
      <c r="V7" s="661" t="s">
        <v>347</v>
      </c>
      <c r="W7" s="662" t="str">
        <f ca="1">IFERROR(INDEX(Language_Dictionary,MATCH($V7,Language_Base,0),MATCH(Language_Selected,Language_available,0)) &amp; " " &amp; W$6, "Language base not setup in dictionary")</f>
        <v>Shade 1</v>
      </c>
      <c r="X7" s="490"/>
      <c r="Y7" s="490"/>
      <c r="Z7" s="490"/>
      <c r="AA7" s="642" t="str">
        <f ca="1">IFERROR(INDEX(Language_Dictionary,MATCH($V7,Language_Base,0),MATCH(Language_Selected,Language_available,0)) &amp; " " &amp; AA$6, "Language base not setup in dictionary")</f>
        <v>Shade 2</v>
      </c>
      <c r="AB7" s="490"/>
      <c r="AC7" s="490"/>
      <c r="AD7" s="490"/>
      <c r="AE7" s="642" t="str">
        <f ca="1">IFERROR(INDEX(Language_Dictionary,MATCH($V7,Language_Base,0),MATCH(Language_Selected,Language_available,0)) &amp; " " &amp; AE$6, "Language base not setup in dictionary")</f>
        <v>Shade 3</v>
      </c>
      <c r="AF7" s="490"/>
      <c r="AG7" s="490"/>
      <c r="AH7" s="490"/>
      <c r="AI7" s="642" t="str">
        <f ca="1">IFERROR(INDEX(Language_Dictionary,MATCH($V7,Language_Base,0),MATCH(Language_Selected,Language_available,0)) &amp; " " &amp; AI$6, "Language base not setup in dictionary")</f>
        <v>Shade 4</v>
      </c>
      <c r="AJ7" s="490"/>
      <c r="AK7" s="490"/>
      <c r="AL7" s="490"/>
      <c r="AM7" s="642" t="str">
        <f ca="1">IFERROR(INDEX(Language_Dictionary,MATCH($V7,Language_Base,0),MATCH(Language_Selected,Language_available,0)) &amp; " " &amp; AM$6, "Language base not setup in dictionary")</f>
        <v>Shade 5</v>
      </c>
      <c r="AN7" s="490"/>
      <c r="AO7" s="490"/>
      <c r="AP7" s="490"/>
    </row>
    <row r="8" spans="1:42" ht="15" hidden="1" customHeight="1" outlineLevel="1" thickBot="1" x14ac:dyDescent="0.25">
      <c r="B8" s="491" t="s">
        <v>264</v>
      </c>
      <c r="C8" s="492" t="s">
        <v>262</v>
      </c>
      <c r="D8" s="492">
        <f ca="1">VLOOKUP(input_ballast,ballast_lookup,3,FALSE)</f>
        <v>0</v>
      </c>
      <c r="E8" s="492" t="s">
        <v>263</v>
      </c>
      <c r="F8" s="495"/>
      <c r="G8" s="495"/>
      <c r="H8" s="495"/>
      <c r="J8" s="34"/>
      <c r="K8" s="458"/>
      <c r="L8" s="487"/>
      <c r="M8" s="488"/>
      <c r="N8" s="489"/>
      <c r="O8" s="489"/>
      <c r="P8" s="487"/>
      <c r="Q8" s="482"/>
      <c r="R8" s="483"/>
      <c r="S8" s="483"/>
      <c r="T8" s="483"/>
      <c r="V8" s="660" t="s">
        <v>834</v>
      </c>
      <c r="W8" s="662" t="str">
        <f ca="1">IFERROR(INDEX(Language_Dictionary,MATCH($V8,Language_Base,0),MATCH(Language_Selected,Language_available,0)) &amp; " " &amp; W$6, "Language base not setup in dictionary")</f>
        <v>LINK 1</v>
      </c>
      <c r="X8" s="490" t="str">
        <f ca="1">IFERROR(INDEX(Language_Dictionary,MATCH(X6,Language_Base,0),MATCH(Language_Selected,Language_available,0)), "Language base not setup in dictionary")</f>
        <v>LINK 1 TORQUE</v>
      </c>
      <c r="Y8" s="490"/>
      <c r="Z8" s="490"/>
      <c r="AA8" s="642" t="str">
        <f ca="1">IFERROR(INDEX(Language_Dictionary,MATCH($V8,Language_Base,0),MATCH(Language_Selected,Language_available,0)) &amp; " " &amp; AA$6, "Language base not setup in dictionary")</f>
        <v>LINK 2</v>
      </c>
      <c r="AB8" s="490" t="str">
        <f ca="1">IFERROR(INDEX(Language_Dictionary,MATCH(AB6,Language_Base,0),MATCH(Language_Selected,Language_available,0)), "Language base not setup in dictionary")</f>
        <v>LINK 2 TORQUE</v>
      </c>
      <c r="AC8" s="490"/>
      <c r="AD8" s="490"/>
      <c r="AE8" s="642" t="str">
        <f ca="1">IFERROR(INDEX(Language_Dictionary,MATCH($V8,Language_Base,0),MATCH(Language_Selected,Language_available,0)) &amp; " " &amp; AE$6, "Language base not setup in dictionary")</f>
        <v>LINK 3</v>
      </c>
      <c r="AF8" s="490" t="str">
        <f ca="1">IFERROR(INDEX(Language_Dictionary,MATCH(AF6,Language_Base,0),MATCH(Language_Selected,Language_available,0)), "Language base not setup in dictionary")</f>
        <v>LINK 3 TORQUE</v>
      </c>
      <c r="AG8" s="490"/>
      <c r="AH8" s="490"/>
      <c r="AI8" s="642" t="str">
        <f ca="1">IFERROR(INDEX(Language_Dictionary,MATCH($V8,Language_Base,0),MATCH(Language_Selected,Language_available,0)) &amp; " " &amp; AI$6, "Language base not setup in dictionary")</f>
        <v>LINK 4</v>
      </c>
      <c r="AJ8" s="490" t="str">
        <f ca="1">IFERROR(INDEX(Language_Dictionary,MATCH(AJ6,Language_Base,0),MATCH(Language_Selected,Language_available,0)), "Language base not setup in dictionary")</f>
        <v>LINK 4 TORQUE</v>
      </c>
      <c r="AK8" s="490"/>
      <c r="AL8" s="490"/>
      <c r="AM8" s="642" t="str">
        <f ca="1">IFERROR(INDEX(Language_Dictionary,MATCH($V8,Language_Base,0),MATCH(Language_Selected,Language_available,0)) &amp; " " &amp; AM$6, "Language base not setup in dictionary")</f>
        <v>LINK 5</v>
      </c>
      <c r="AN8" s="490" t="str">
        <f ca="1">IFERROR(INDEX(Language_Dictionary,MATCH(AN6,Language_Base,0),MATCH(Language_Selected,Language_available,0)), "Language base not setup in dictionary")</f>
        <v>Language base not setup in dictionary</v>
      </c>
      <c r="AO8" s="490"/>
      <c r="AP8" s="490"/>
    </row>
    <row r="9" spans="1:42" ht="15" customHeight="1" collapsed="1" x14ac:dyDescent="0.2">
      <c r="B9" s="491" t="s">
        <v>265</v>
      </c>
      <c r="C9" s="492" t="s">
        <v>262</v>
      </c>
      <c r="D9" s="492" t="e">
        <f ca="1">wb_mass+ballast_mass</f>
        <v>#N/A</v>
      </c>
      <c r="E9" s="492" t="s">
        <v>263</v>
      </c>
      <c r="F9" s="495"/>
      <c r="G9" s="495"/>
      <c r="H9" s="495"/>
      <c r="J9" s="34"/>
      <c r="K9" s="458"/>
      <c r="L9" s="487"/>
      <c r="M9" s="488"/>
      <c r="N9" s="489"/>
      <c r="O9" s="489"/>
      <c r="P9" s="487"/>
      <c r="Q9" s="482"/>
      <c r="R9" s="483"/>
      <c r="S9" s="483"/>
      <c r="T9" s="483"/>
      <c r="V9" s="475" t="s">
        <v>941</v>
      </c>
      <c r="W9" s="764" t="str">
        <f ca="1">IFERROR(INDEX(Language_Dictionary,MATCH(V9,Language_Base,0),MATCH(Language_Selected,Language_available,0)), "Language base not setup in dictionary")</f>
        <v>This considers torque only and not other system limitations</v>
      </c>
      <c r="X9" s="763"/>
      <c r="AN9" s="490"/>
      <c r="AO9" s="490"/>
      <c r="AP9" s="490"/>
    </row>
    <row r="10" spans="1:42" ht="15" customHeight="1" x14ac:dyDescent="0.2">
      <c r="B10" s="491" t="s">
        <v>267</v>
      </c>
      <c r="C10" s="492" t="s">
        <v>262</v>
      </c>
      <c r="D10" s="496">
        <f ca="1">fabric_density/1000</f>
        <v>0.67133379931199999</v>
      </c>
      <c r="E10" s="492" t="s">
        <v>268</v>
      </c>
      <c r="F10" s="495"/>
      <c r="G10" s="495"/>
      <c r="H10" s="495"/>
      <c r="J10" s="34"/>
      <c r="K10" s="458"/>
      <c r="L10" s="487"/>
      <c r="M10" s="488"/>
      <c r="N10" s="489"/>
      <c r="O10" s="489"/>
      <c r="P10" s="487"/>
      <c r="Q10" s="482"/>
      <c r="R10" s="483"/>
      <c r="S10" s="483"/>
      <c r="T10" s="483"/>
      <c r="AN10" s="490"/>
      <c r="AO10" s="490"/>
      <c r="AP10" s="490"/>
    </row>
    <row r="11" spans="1:42" ht="15" customHeight="1" x14ac:dyDescent="0.2">
      <c r="B11" s="491" t="s">
        <v>270</v>
      </c>
      <c r="C11" s="492" t="s">
        <v>262</v>
      </c>
      <c r="D11" s="493"/>
      <c r="E11" s="492" t="s">
        <v>245</v>
      </c>
      <c r="F11" s="495"/>
      <c r="G11" s="495"/>
      <c r="H11" s="495"/>
      <c r="J11" s="475" t="s">
        <v>366</v>
      </c>
      <c r="K11" s="497" t="str">
        <f t="shared" ref="K11:K16" ca="1" si="0">IFERROR(INDEX(Language_Dictionary,MATCH(J11,Language_Base,0),MATCH(Language_Selected,Language_available,0)), "Language base not setup in dictionary")</f>
        <v>FABRIC WEIGHT</v>
      </c>
      <c r="L11" s="498">
        <v>5.8</v>
      </c>
      <c r="M11" s="499" t="str">
        <f>IF($AF$3='Chart Parameters'!$H$19,"oz/yd²","g/m²")</f>
        <v>oz/yd²</v>
      </c>
      <c r="N11" s="500"/>
      <c r="O11" s="501" t="str">
        <f ca="1">IF(fabric_density=0,"",IF(OR(fabric_density&lt;50,fabric_density&gt;1000),"Input value may not be correct",""))</f>
        <v/>
      </c>
      <c r="P11" s="502"/>
      <c r="Q11" s="503"/>
      <c r="R11" s="483"/>
      <c r="S11" s="483"/>
      <c r="T11" s="483"/>
      <c r="AN11" s="490"/>
      <c r="AO11" s="490"/>
      <c r="AP11" s="490"/>
    </row>
    <row r="12" spans="1:42" ht="15" customHeight="1" x14ac:dyDescent="0.2">
      <c r="A12" s="508"/>
      <c r="B12" s="491" t="s">
        <v>605</v>
      </c>
      <c r="C12" s="492" t="s">
        <v>262</v>
      </c>
      <c r="D12" s="509" t="e">
        <f ca="1">(((input_drop/1000)+pwa)*(input_width/1000)*fabric_dens)+(((input_width/1000)*wb_ballast_mass))</f>
        <v>#N/A</v>
      </c>
      <c r="E12" s="492" t="s">
        <v>248</v>
      </c>
      <c r="F12" s="495"/>
      <c r="G12" s="495"/>
      <c r="H12" s="495"/>
      <c r="I12" s="510"/>
      <c r="J12" s="475" t="s">
        <v>323</v>
      </c>
      <c r="K12" s="497" t="str">
        <f t="shared" ca="1" si="0"/>
        <v>FABRIC THICKNESS</v>
      </c>
      <c r="L12" s="498">
        <v>1.6E-2</v>
      </c>
      <c r="M12" s="499" t="str">
        <f>IF($AF$3='Chart Parameters'!$H$19,"inch","mm")</f>
        <v>inch</v>
      </c>
      <c r="N12" s="500"/>
      <c r="O12" s="501" t="str">
        <f ca="1">IF(ISBLANK(fabric_thickness),"",IF(OR(fabric_thickness&lt;0.05,fabric_thickness&gt;1.5),"Input value may not be correct",""))</f>
        <v/>
      </c>
      <c r="P12" s="502"/>
      <c r="Q12" s="503"/>
      <c r="R12" s="483"/>
      <c r="S12" s="483"/>
      <c r="T12" s="483"/>
      <c r="AN12" s="490"/>
      <c r="AO12" s="490"/>
      <c r="AP12" s="490"/>
    </row>
    <row r="13" spans="1:42" ht="15" customHeight="1" x14ac:dyDescent="0.2">
      <c r="A13" s="508"/>
      <c r="B13" s="514" t="s">
        <v>606</v>
      </c>
      <c r="C13" s="508" t="s">
        <v>262</v>
      </c>
      <c r="D13" s="515" t="e">
        <f ca="1">blind_weight*Blind_Count</f>
        <v>#N/A</v>
      </c>
      <c r="E13" s="492" t="s">
        <v>248</v>
      </c>
      <c r="F13" s="495"/>
      <c r="G13" s="495"/>
      <c r="H13" s="495"/>
      <c r="J13" s="475" t="s">
        <v>326</v>
      </c>
      <c r="K13" s="497" t="str">
        <f t="shared" ca="1" si="0"/>
        <v>Language base not setup in dictionary</v>
      </c>
      <c r="L13" s="498">
        <v>2000</v>
      </c>
      <c r="M13" s="516" t="str">
        <f>IF($AF$3='Chart Parameters'!$H$19,"inch","mm")</f>
        <v>inch</v>
      </c>
      <c r="N13" s="517"/>
      <c r="O13" s="517"/>
      <c r="P13" s="517"/>
      <c r="Q13" s="518"/>
      <c r="R13" s="483"/>
      <c r="S13" s="483"/>
      <c r="T13" s="483"/>
      <c r="AN13" s="490"/>
      <c r="AO13" s="490"/>
      <c r="AP13" s="490"/>
    </row>
    <row r="14" spans="1:42" ht="15" customHeight="1" x14ac:dyDescent="0.2">
      <c r="F14" s="495"/>
      <c r="G14" s="495"/>
      <c r="H14" s="495"/>
      <c r="J14" s="475" t="s">
        <v>324</v>
      </c>
      <c r="K14" s="497" t="str">
        <f t="shared" ca="1" si="0"/>
        <v>Language base not setup in dictionary</v>
      </c>
      <c r="L14" s="498">
        <v>3000</v>
      </c>
      <c r="M14" s="516" t="str">
        <f>IF($AF$3='Chart Parameters'!$H$19,"inch","mm")</f>
        <v>inch</v>
      </c>
      <c r="N14" s="517"/>
      <c r="O14" s="517"/>
      <c r="P14" s="517"/>
      <c r="Q14" s="518"/>
      <c r="R14" s="483"/>
      <c r="S14" s="483"/>
      <c r="T14" s="483"/>
      <c r="AN14" s="490"/>
      <c r="AO14" s="490"/>
      <c r="AP14" s="490"/>
    </row>
    <row r="15" spans="1:42" ht="15" customHeight="1" x14ac:dyDescent="0.2">
      <c r="B15" s="780" t="s">
        <v>277</v>
      </c>
      <c r="C15" s="780"/>
      <c r="D15" s="780"/>
      <c r="E15" s="780"/>
      <c r="F15" s="495"/>
      <c r="G15" s="495"/>
      <c r="H15" s="495"/>
      <c r="I15" s="495"/>
      <c r="J15" s="475" t="s">
        <v>88</v>
      </c>
      <c r="K15" s="497" t="str">
        <f t="shared" ca="1" si="0"/>
        <v>HEM BAR</v>
      </c>
      <c r="L15" s="522" t="s">
        <v>107</v>
      </c>
      <c r="M15" s="517"/>
      <c r="N15" s="517"/>
      <c r="O15" s="517"/>
      <c r="P15" s="517"/>
      <c r="Q15" s="518"/>
      <c r="R15" s="483"/>
      <c r="S15" s="483"/>
      <c r="T15" s="483"/>
      <c r="AN15" s="490"/>
      <c r="AO15" s="490"/>
      <c r="AP15" s="490"/>
    </row>
    <row r="16" spans="1:42" ht="15" customHeight="1" x14ac:dyDescent="0.2">
      <c r="B16" s="491" t="s">
        <v>280</v>
      </c>
      <c r="C16" s="523" t="s">
        <v>262</v>
      </c>
      <c r="D16" s="524">
        <f ca="1">VLOOKUP(input_tube,tube_lookup,2,FALSE)</f>
        <v>44.15</v>
      </c>
      <c r="E16" s="492" t="s">
        <v>28</v>
      </c>
      <c r="F16" s="495"/>
      <c r="G16" s="495"/>
      <c r="H16" s="495"/>
      <c r="J16" s="475" t="s">
        <v>367</v>
      </c>
      <c r="K16" s="497" t="str">
        <f t="shared" ca="1" si="0"/>
        <v>BALLAST</v>
      </c>
      <c r="L16" s="498" t="s">
        <v>133</v>
      </c>
      <c r="M16" s="517" t="s">
        <v>269</v>
      </c>
      <c r="N16" s="517"/>
      <c r="O16" s="517"/>
      <c r="P16" s="517"/>
      <c r="Q16" s="518"/>
      <c r="R16" s="483"/>
      <c r="S16" s="483"/>
      <c r="T16" s="483"/>
      <c r="AN16" s="490"/>
      <c r="AO16" s="490"/>
      <c r="AP16" s="490"/>
    </row>
    <row r="17" spans="2:42" ht="15" customHeight="1" thickBot="1" x14ac:dyDescent="0.25">
      <c r="B17" s="491" t="s">
        <v>284</v>
      </c>
      <c r="C17" s="523" t="s">
        <v>262</v>
      </c>
      <c r="D17" s="527">
        <f ca="1">(tubeod/2)/1000</f>
        <v>2.2075000000000001E-2</v>
      </c>
      <c r="E17" s="492" t="s">
        <v>245</v>
      </c>
      <c r="F17" s="495"/>
      <c r="G17" s="495"/>
      <c r="H17" s="495"/>
      <c r="K17" s="526" t="s">
        <v>271</v>
      </c>
      <c r="L17" s="498" t="s">
        <v>18</v>
      </c>
      <c r="M17" s="517" t="s">
        <v>272</v>
      </c>
      <c r="N17" s="517"/>
      <c r="O17" s="517"/>
      <c r="P17" s="517"/>
      <c r="Q17" s="518"/>
      <c r="R17" s="483"/>
      <c r="S17" s="483"/>
      <c r="T17" s="483"/>
      <c r="AJ17" s="490"/>
      <c r="AK17" s="490"/>
      <c r="AL17" s="490"/>
      <c r="AN17" s="490"/>
      <c r="AO17" s="490"/>
      <c r="AP17" s="490"/>
    </row>
    <row r="18" spans="2:42" ht="15" customHeight="1" x14ac:dyDescent="0.2">
      <c r="B18" s="780" t="s">
        <v>285</v>
      </c>
      <c r="C18" s="780"/>
      <c r="D18" s="780"/>
      <c r="E18" s="780"/>
      <c r="F18" s="528" t="s">
        <v>362</v>
      </c>
      <c r="G18" s="495"/>
      <c r="H18" s="495"/>
      <c r="J18" s="528" t="s">
        <v>362</v>
      </c>
      <c r="K18" s="529" t="s">
        <v>274</v>
      </c>
      <c r="L18" s="498" t="s">
        <v>275</v>
      </c>
      <c r="M18" s="530" t="s">
        <v>276</v>
      </c>
      <c r="N18" s="500"/>
      <c r="O18" s="531" t="str">
        <f>IF(OR(AND(input_control="ESU",input_drop&gt;D64),AND(input_control="AERO",input_drop&gt;D63)),"Blind Drop exceeds system capacity. Recommend to use Link system","")</f>
        <v/>
      </c>
      <c r="P18" s="531"/>
      <c r="Q18" s="532"/>
      <c r="R18" s="532"/>
      <c r="S18" s="532"/>
      <c r="T18" s="569"/>
      <c r="V18" s="504"/>
      <c r="W18" s="505" t="str">
        <f ca="1">W7</f>
        <v>Shade 1</v>
      </c>
      <c r="X18" s="506"/>
      <c r="Y18" s="506"/>
      <c r="Z18" s="651"/>
      <c r="AA18" s="505" t="str">
        <f ca="1">AA7</f>
        <v>Shade 2</v>
      </c>
      <c r="AB18" s="506"/>
      <c r="AC18" s="506"/>
      <c r="AD18" s="507"/>
      <c r="AE18" s="505" t="str">
        <f ca="1">AE7</f>
        <v>Shade 3</v>
      </c>
      <c r="AF18" s="506"/>
      <c r="AG18" s="506"/>
      <c r="AH18" s="507"/>
      <c r="AI18" s="505" t="str">
        <f ca="1">AI7</f>
        <v>Shade 4</v>
      </c>
      <c r="AJ18" s="506"/>
      <c r="AK18" s="506"/>
      <c r="AL18" s="507"/>
      <c r="AM18" s="505" t="str">
        <f ca="1">AM7</f>
        <v>Shade 5</v>
      </c>
      <c r="AN18" s="506"/>
      <c r="AO18" s="506"/>
      <c r="AP18" s="507"/>
    </row>
    <row r="19" spans="2:42" ht="24.95" customHeight="1" x14ac:dyDescent="0.2">
      <c r="B19" s="535" t="s">
        <v>287</v>
      </c>
      <c r="C19" s="492" t="s">
        <v>262</v>
      </c>
      <c r="D19" s="536">
        <f>L37</f>
        <v>0</v>
      </c>
      <c r="E19" s="523"/>
      <c r="F19" s="528" t="s">
        <v>362</v>
      </c>
      <c r="G19" s="495"/>
      <c r="H19" s="495"/>
      <c r="J19" s="528" t="s">
        <v>362</v>
      </c>
      <c r="K19" s="497" t="str">
        <f ca="1">IFERROR(INDEX(Language_Dictionary,MATCH(J20,Language_Base,0),MATCH(Language_Selected,Language_available,0)), "Language base not setup in dictionary")</f>
        <v>Tube</v>
      </c>
      <c r="L19" s="537" t="str">
        <f>IF(OR(input_width=0,input_drop=0,LEN(input_control)&lt;1),"",IFERROR(tube_rec,"Tube exceeds deflection amount for this blind size"))</f>
        <v>Tube exceeds deflection amount for this blind size</v>
      </c>
      <c r="M19" s="538" t="str">
        <f>IF(L19=0,"","← Tube Recommendation")</f>
        <v>← Tube Recommendation</v>
      </c>
      <c r="N19" s="538"/>
      <c r="O19" s="538"/>
      <c r="P19" s="538"/>
      <c r="Q19" s="532"/>
      <c r="R19" s="532"/>
      <c r="S19" s="532"/>
      <c r="T19" s="569"/>
      <c r="V19" s="519" t="s">
        <v>817</v>
      </c>
      <c r="W19" s="637" t="str">
        <f ca="1">IFERROR(INDEX(Language_Dictionary,MATCH(V19,Language_Base,0),MATCH(Language_Selected,Language_available,0)), "Language base not setup in dictionary")</f>
        <v>WIDTH</v>
      </c>
      <c r="X19" s="681">
        <v>60</v>
      </c>
      <c r="Y19" s="520" t="str">
        <f>IF($AF$3='Chart Parameters'!$H$19,"inch","mm")</f>
        <v>inch</v>
      </c>
      <c r="Z19" s="511"/>
      <c r="AA19" s="637" t="str">
        <f t="shared" ref="AA19:AA27" ca="1" si="1">IF(ISBLANK(W19),"",W19)</f>
        <v>WIDTH</v>
      </c>
      <c r="AB19" s="172">
        <v>60</v>
      </c>
      <c r="AC19" s="520" t="str">
        <f>IF($AF$3='Chart Parameters'!$H$19,"inch","mm")</f>
        <v>inch</v>
      </c>
      <c r="AD19" s="513"/>
      <c r="AE19" s="637" t="str">
        <f t="shared" ref="AE19:AE27" ca="1" si="2">IF(ISBLANK(AA19),"",AA19)</f>
        <v>WIDTH</v>
      </c>
      <c r="AF19" s="172">
        <v>0</v>
      </c>
      <c r="AG19" s="520" t="str">
        <f>IF($AF$3='Chart Parameters'!$H$19,"inch","mm")</f>
        <v>inch</v>
      </c>
      <c r="AH19" s="513"/>
      <c r="AI19" s="637" t="str">
        <f t="shared" ref="AI19:AI27" ca="1" si="3">IF(ISBLANK(AE19),"",AE19)</f>
        <v>WIDTH</v>
      </c>
      <c r="AJ19" s="172"/>
      <c r="AK19" s="520" t="str">
        <f>IF($AF$3='Chart Parameters'!$H$19,"inch","mm")</f>
        <v>inch</v>
      </c>
      <c r="AL19" s="513"/>
      <c r="AM19" s="637" t="str">
        <f ca="1">IF(ISBLANK(AI19),"",AI19)</f>
        <v>WIDTH</v>
      </c>
      <c r="AN19" s="172"/>
      <c r="AO19" s="520" t="str">
        <f>IF($AF$3='Chart Parameters'!$H$19,"inch","mm")</f>
        <v>inch</v>
      </c>
      <c r="AP19" s="513"/>
    </row>
    <row r="20" spans="2:42" ht="15" hidden="1" customHeight="1" outlineLevel="1" x14ac:dyDescent="0.2">
      <c r="B20" s="535" t="s">
        <v>288</v>
      </c>
      <c r="C20" s="492" t="s">
        <v>262</v>
      </c>
      <c r="D20" s="539">
        <f>IF(ISBLANK(L37),0,VLOOKUP(D19,ESU_Booster_Data,2,0))</f>
        <v>0</v>
      </c>
      <c r="E20" s="523" t="s">
        <v>289</v>
      </c>
      <c r="F20" s="528" t="s">
        <v>362</v>
      </c>
      <c r="G20" s="495"/>
      <c r="H20" s="495"/>
      <c r="J20" s="475" t="s">
        <v>348</v>
      </c>
      <c r="K20" s="540"/>
      <c r="L20" s="521" t="s">
        <v>278</v>
      </c>
      <c r="M20" s="541" t="s">
        <v>279</v>
      </c>
      <c r="N20" s="542"/>
      <c r="O20" s="542"/>
      <c r="P20" s="543"/>
      <c r="Q20" s="532"/>
      <c r="R20" s="532"/>
      <c r="S20" s="532"/>
      <c r="T20" s="562"/>
      <c r="V20" s="519" t="s">
        <v>818</v>
      </c>
      <c r="W20" s="637" t="str">
        <f t="shared" ref="W20:W26" ca="1" si="4">IFERROR(INDEX(Language_Dictionary,MATCH(V20,Language_Base,0),MATCH(Language_Selected,Language_available,0)), "Language base not setup in dictionary")</f>
        <v>DROP</v>
      </c>
      <c r="X20" s="657">
        <f>$AA$71</f>
        <v>80</v>
      </c>
      <c r="Y20" s="520" t="str">
        <f>IF($AF$3='Chart Parameters'!$H$19,"inch","mm")</f>
        <v>inch</v>
      </c>
      <c r="Z20" s="511"/>
      <c r="AA20" s="637" t="str">
        <f t="shared" ca="1" si="1"/>
        <v>DROP</v>
      </c>
      <c r="AB20" s="657">
        <f>$AA$71</f>
        <v>80</v>
      </c>
      <c r="AC20" s="520" t="str">
        <f>IF($AF$3='Chart Parameters'!$H$19,"inch","mm")</f>
        <v>inch</v>
      </c>
      <c r="AD20" s="513"/>
      <c r="AE20" s="637" t="str">
        <f t="shared" ca="1" si="2"/>
        <v>DROP</v>
      </c>
      <c r="AF20" s="657">
        <f>$AA$71</f>
        <v>80</v>
      </c>
      <c r="AG20" s="520" t="str">
        <f>IF($AF$3='Chart Parameters'!$H$19,"inch","mm")</f>
        <v>inch</v>
      </c>
      <c r="AH20" s="513"/>
      <c r="AI20" s="637" t="str">
        <f t="shared" ca="1" si="3"/>
        <v>DROP</v>
      </c>
      <c r="AJ20" s="657">
        <f>$AA$71</f>
        <v>80</v>
      </c>
      <c r="AK20" s="520" t="str">
        <f>IF($AF$3='Chart Parameters'!$H$19,"inch","mm")</f>
        <v>inch</v>
      </c>
      <c r="AL20" s="513"/>
      <c r="AM20" s="637" t="str">
        <f ca="1">IF(ISBLANK(AI20),"",AI20)</f>
        <v>DROP</v>
      </c>
      <c r="AN20" s="657">
        <f>$AA$71</f>
        <v>80</v>
      </c>
      <c r="AO20" s="520" t="str">
        <f>IF($AF$3='Chart Parameters'!$H$19,"inch","mm")</f>
        <v>inch</v>
      </c>
      <c r="AP20" s="513"/>
    </row>
    <row r="21" spans="2:42" ht="15" hidden="1" customHeight="1" outlineLevel="1" x14ac:dyDescent="0.2">
      <c r="B21" s="535" t="s">
        <v>291</v>
      </c>
      <c r="C21" s="492" t="s">
        <v>262</v>
      </c>
      <c r="D21" s="539">
        <f>-(X41/1000)*1000/PI()</f>
        <v>-485.10426654409702</v>
      </c>
      <c r="E21" s="523"/>
      <c r="F21" s="528" t="s">
        <v>362</v>
      </c>
      <c r="G21" s="495"/>
      <c r="H21" s="495"/>
      <c r="I21" s="495"/>
      <c r="J21" s="528" t="s">
        <v>362</v>
      </c>
      <c r="K21" s="544" t="s">
        <v>281</v>
      </c>
      <c r="L21" s="498" t="s">
        <v>282</v>
      </c>
      <c r="M21" s="545" t="s">
        <v>283</v>
      </c>
      <c r="N21" s="546"/>
      <c r="O21" s="501" t="str">
        <f>IFERROR(IF(ISBLANK(input_winder),"",IF(VLOOKUP(input_winder,acm_re_winder_lookup,10,FALSE)="re","Selected winder/clutch must use Rollease Brackets",IF(VLOOKUP(input_winder,acm_re_winder_lookup,10,FALSE)="acm","Selected winder/clutch must use Acmeda Brackets",""))),"")</f>
        <v/>
      </c>
      <c r="P21" s="502"/>
      <c r="Q21" s="547"/>
      <c r="R21" s="173"/>
      <c r="S21" s="173"/>
      <c r="T21" s="581"/>
      <c r="V21" s="519" t="s">
        <v>346</v>
      </c>
      <c r="W21" s="637" t="str">
        <f t="shared" ca="1" si="4"/>
        <v>FABRIC</v>
      </c>
      <c r="X21" s="770" t="str">
        <f ca="1">$AA$72</f>
        <v>Phifer, SheerWeave Style 7100</v>
      </c>
      <c r="Y21" s="771"/>
      <c r="Z21" s="511"/>
      <c r="AA21" s="637" t="str">
        <f t="shared" ca="1" si="1"/>
        <v>FABRIC</v>
      </c>
      <c r="AB21" s="770" t="str">
        <f ca="1">$AA$72</f>
        <v>Phifer, SheerWeave Style 7100</v>
      </c>
      <c r="AC21" s="771"/>
      <c r="AD21" s="513"/>
      <c r="AE21" s="637" t="str">
        <f t="shared" ca="1" si="2"/>
        <v>FABRIC</v>
      </c>
      <c r="AF21" s="770" t="str">
        <f ca="1">$AA$72</f>
        <v>Phifer, SheerWeave Style 7100</v>
      </c>
      <c r="AG21" s="771"/>
      <c r="AH21" s="513"/>
      <c r="AI21" s="637" t="str">
        <f t="shared" ca="1" si="3"/>
        <v>FABRIC</v>
      </c>
      <c r="AJ21" s="770" t="str">
        <f ca="1">$AA$72</f>
        <v>Phifer, SheerWeave Style 7100</v>
      </c>
      <c r="AK21" s="771"/>
      <c r="AL21" s="513"/>
      <c r="AM21" s="637" t="str">
        <f t="shared" ref="AM21:AM27" ca="1" si="5">IF(ISBLANK(AI21),"",AI21)</f>
        <v>FABRIC</v>
      </c>
      <c r="AN21" s="770" t="str">
        <f ca="1">$AA$72</f>
        <v>Phifer, SheerWeave Style 7100</v>
      </c>
      <c r="AO21" s="771"/>
      <c r="AP21" s="513"/>
    </row>
    <row r="22" spans="2:42" ht="15" hidden="1" customHeight="1" outlineLevel="1" x14ac:dyDescent="0.2">
      <c r="B22" s="535" t="s">
        <v>292</v>
      </c>
      <c r="C22" s="492" t="s">
        <v>262</v>
      </c>
      <c r="D22" s="550">
        <f ca="1">(-$D$16+SQRT($D$16^2 - 4*$X$39*$D$21))/(2*$X$39)</f>
        <v>9.7339058996883505</v>
      </c>
      <c r="E22" s="523"/>
      <c r="F22" s="528" t="s">
        <v>362</v>
      </c>
      <c r="G22" s="495"/>
      <c r="H22" s="495"/>
      <c r="I22" s="495"/>
      <c r="J22" s="551" t="s">
        <v>607</v>
      </c>
      <c r="K22" s="497" t="str">
        <f ca="1">IFERROR(INDEX(Language_Dictionary,MATCH(J22,Language_Base,0),MATCH(Language_Selected,Language_available,0)), "Language base not setup in dictionary")</f>
        <v>NUMBER OF SHADES</v>
      </c>
      <c r="L22" s="551">
        <v>3</v>
      </c>
      <c r="M22" s="545" t="s">
        <v>610</v>
      </c>
      <c r="N22" s="551"/>
      <c r="O22" s="551"/>
      <c r="P22" s="551"/>
      <c r="Q22" s="547"/>
      <c r="R22" s="173"/>
      <c r="S22" s="173"/>
      <c r="T22" s="581"/>
      <c r="V22" s="519" t="s">
        <v>627</v>
      </c>
      <c r="W22" s="649" t="str">
        <f t="shared" ca="1" si="4"/>
        <v>WEIGHT</v>
      </c>
      <c r="X22" s="682">
        <f ca="1">VLOOKUP(X21,fabric_lookup,6,FALSE)</f>
        <v>19.800003109430577</v>
      </c>
      <c r="Y22" s="520" t="str">
        <f>IF($AF$3='Chart Parameters'!$H$19,"oz/yd²","g/m²")</f>
        <v>oz/yd²</v>
      </c>
      <c r="Z22" s="511"/>
      <c r="AA22" s="649" t="str">
        <f t="shared" ca="1" si="1"/>
        <v>WEIGHT</v>
      </c>
      <c r="AB22" s="648">
        <f ca="1">VLOOKUP(AB21,fabric_lookup,6,FALSE)</f>
        <v>19.800003109430577</v>
      </c>
      <c r="AC22" s="520" t="str">
        <f>IF($AF$3='Chart Parameters'!$H$19,"oz/yd²","g/m²")</f>
        <v>oz/yd²</v>
      </c>
      <c r="AD22" s="513"/>
      <c r="AE22" s="649" t="str">
        <f t="shared" ca="1" si="2"/>
        <v>WEIGHT</v>
      </c>
      <c r="AF22" s="648">
        <f ca="1">VLOOKUP(AF21,fabric_lookup,6,FALSE)</f>
        <v>19.800003109430577</v>
      </c>
      <c r="AG22" s="520" t="str">
        <f>IF($AF$3='Chart Parameters'!$H$19,"oz/yd²","g/m²")</f>
        <v>oz/yd²</v>
      </c>
      <c r="AH22" s="513"/>
      <c r="AI22" s="649" t="str">
        <f t="shared" ca="1" si="3"/>
        <v>WEIGHT</v>
      </c>
      <c r="AJ22" s="648">
        <f ca="1">VLOOKUP(AJ21,fabric_lookup,6,FALSE)</f>
        <v>19.800003109430577</v>
      </c>
      <c r="AK22" s="520" t="str">
        <f>IF($AF$3='Chart Parameters'!$H$19,"oz/yd²","g/m²")</f>
        <v>oz/yd²</v>
      </c>
      <c r="AL22" s="513"/>
      <c r="AM22" s="649" t="str">
        <f t="shared" ca="1" si="5"/>
        <v>WEIGHT</v>
      </c>
      <c r="AN22" s="648">
        <f ca="1">VLOOKUP(AN21,fabric_lookup,6,FALSE)</f>
        <v>19.800003109430577</v>
      </c>
      <c r="AO22" s="520" t="str">
        <f>IF($AF$3='Chart Parameters'!$H$19,"oz/yd²","g/m²")</f>
        <v>oz/yd²</v>
      </c>
      <c r="AP22" s="513"/>
    </row>
    <row r="23" spans="2:42" ht="15" hidden="1" customHeight="1" outlineLevel="1" x14ac:dyDescent="0.2">
      <c r="B23" s="535" t="s">
        <v>294</v>
      </c>
      <c r="C23" s="492" t="s">
        <v>262</v>
      </c>
      <c r="D23" s="550">
        <f ca="1">D22</f>
        <v>9.7339058996883505</v>
      </c>
      <c r="E23" s="523"/>
      <c r="F23" s="528" t="s">
        <v>362</v>
      </c>
      <c r="G23" s="495"/>
      <c r="H23" s="495"/>
      <c r="I23" s="495"/>
      <c r="J23" s="551"/>
      <c r="K23" s="551"/>
      <c r="L23" s="551"/>
      <c r="M23" s="551"/>
      <c r="N23" s="551"/>
      <c r="O23" s="551"/>
      <c r="P23" s="551"/>
      <c r="Q23" s="547"/>
      <c r="R23" s="173"/>
      <c r="S23" s="173"/>
      <c r="T23" s="589"/>
      <c r="V23" s="519" t="s">
        <v>626</v>
      </c>
      <c r="W23" s="649" t="str">
        <f t="shared" ca="1" si="4"/>
        <v>THICKNESS</v>
      </c>
      <c r="X23" s="525">
        <f ca="1">VLOOKUP(X21,fabric_lookup,5,FALSE)</f>
        <v>2.29999998482E-2</v>
      </c>
      <c r="Y23" s="520" t="str">
        <f>IF($AF$3='Chart Parameters'!$H$19,"inch","mm")</f>
        <v>inch</v>
      </c>
      <c r="Z23" s="511"/>
      <c r="AA23" s="649" t="str">
        <f t="shared" ca="1" si="1"/>
        <v>THICKNESS</v>
      </c>
      <c r="AB23" s="525">
        <f ca="1">VLOOKUP(AB21,fabric_lookup,5,FALSE)</f>
        <v>2.29999998482E-2</v>
      </c>
      <c r="AC23" s="520" t="str">
        <f>IF($AF$3='Chart Parameters'!$H$19,"inch","mm")</f>
        <v>inch</v>
      </c>
      <c r="AD23" s="513"/>
      <c r="AE23" s="649" t="str">
        <f t="shared" ca="1" si="2"/>
        <v>THICKNESS</v>
      </c>
      <c r="AF23" s="525">
        <f ca="1">VLOOKUP(AF21,fabric_lookup,5,FALSE)</f>
        <v>2.29999998482E-2</v>
      </c>
      <c r="AG23" s="520" t="str">
        <f>IF($AF$3='Chart Parameters'!$H$19,"inch","mm")</f>
        <v>inch</v>
      </c>
      <c r="AH23" s="513"/>
      <c r="AI23" s="649" t="str">
        <f t="shared" ca="1" si="3"/>
        <v>THICKNESS</v>
      </c>
      <c r="AJ23" s="525">
        <f ca="1">VLOOKUP(AJ21,fabric_lookup,5,FALSE)</f>
        <v>2.29999998482E-2</v>
      </c>
      <c r="AK23" s="520" t="str">
        <f>IF($AF$3='Chart Parameters'!$H$19,"inch","mm")</f>
        <v>inch</v>
      </c>
      <c r="AL23" s="513"/>
      <c r="AM23" s="649" t="str">
        <f t="shared" ca="1" si="5"/>
        <v>THICKNESS</v>
      </c>
      <c r="AN23" s="525">
        <f ca="1">VLOOKUP(AN21,fabric_lookup,5,FALSE)</f>
        <v>2.29999998482E-2</v>
      </c>
      <c r="AO23" s="520" t="str">
        <f>IF($AF$3='Chart Parameters'!$H$19,"inch","mm")</f>
        <v>inch</v>
      </c>
      <c r="AP23" s="513"/>
    </row>
    <row r="24" spans="2:42" ht="15" hidden="1" customHeight="1" outlineLevel="1" x14ac:dyDescent="0.2">
      <c r="B24" s="535" t="s">
        <v>297</v>
      </c>
      <c r="C24" s="492" t="s">
        <v>262</v>
      </c>
      <c r="D24" s="550" t="str">
        <f>IF(LEN(L38)&lt;1,"",D20*(D23+L38))</f>
        <v/>
      </c>
      <c r="E24" s="523" t="s">
        <v>220</v>
      </c>
      <c r="F24" s="528" t="s">
        <v>362</v>
      </c>
      <c r="G24" s="495"/>
      <c r="H24" s="495"/>
      <c r="I24" s="495"/>
      <c r="J24" s="551"/>
      <c r="K24" s="551"/>
      <c r="L24" s="551"/>
      <c r="M24" s="551"/>
      <c r="N24" s="551"/>
      <c r="O24" s="551"/>
      <c r="P24" s="551"/>
      <c r="Q24" s="547"/>
      <c r="R24" s="173"/>
      <c r="S24" s="173"/>
      <c r="T24" s="532"/>
      <c r="V24" s="519" t="s">
        <v>88</v>
      </c>
      <c r="W24" s="637" t="str">
        <f t="shared" ca="1" si="4"/>
        <v>HEM BAR</v>
      </c>
      <c r="X24" s="765" t="str">
        <f ca="1">$AA$75</f>
        <v>HB16</v>
      </c>
      <c r="Y24" s="765"/>
      <c r="Z24" s="533"/>
      <c r="AA24" s="637" t="str">
        <f t="shared" ca="1" si="1"/>
        <v>HEM BAR</v>
      </c>
      <c r="AB24" s="765" t="str">
        <f ca="1">$AA$75</f>
        <v>HB16</v>
      </c>
      <c r="AC24" s="765"/>
      <c r="AD24" s="534"/>
      <c r="AE24" s="637" t="str">
        <f t="shared" ca="1" si="2"/>
        <v>HEM BAR</v>
      </c>
      <c r="AF24" s="765" t="str">
        <f ca="1">$AA$75</f>
        <v>HB16</v>
      </c>
      <c r="AG24" s="765"/>
      <c r="AH24" s="534"/>
      <c r="AI24" s="637" t="str">
        <f t="shared" ca="1" si="3"/>
        <v>HEM BAR</v>
      </c>
      <c r="AJ24" s="765" t="str">
        <f ca="1">$AA$75</f>
        <v>HB16</v>
      </c>
      <c r="AK24" s="765"/>
      <c r="AL24" s="534"/>
      <c r="AM24" s="637" t="str">
        <f t="shared" ca="1" si="5"/>
        <v>HEM BAR</v>
      </c>
      <c r="AN24" s="765" t="str">
        <f ca="1">$AA$75</f>
        <v>HB16</v>
      </c>
      <c r="AO24" s="765"/>
      <c r="AP24" s="534"/>
    </row>
    <row r="25" spans="2:42" ht="15" hidden="1" customHeight="1" outlineLevel="1" x14ac:dyDescent="0.2">
      <c r="B25" s="558" t="s">
        <v>299</v>
      </c>
      <c r="C25" s="559" t="s">
        <v>262</v>
      </c>
      <c r="D25" s="560">
        <f>IFERROR(VLOOKUP(D19,ESU_Booster_Data,7,0),0)</f>
        <v>0</v>
      </c>
      <c r="E25" s="561" t="s">
        <v>220</v>
      </c>
      <c r="F25" s="528" t="s">
        <v>362</v>
      </c>
      <c r="G25" s="495"/>
      <c r="H25" s="495"/>
      <c r="I25" s="495"/>
      <c r="J25" s="551"/>
      <c r="K25" s="551"/>
      <c r="L25" s="551"/>
      <c r="M25" s="551"/>
      <c r="N25" s="551"/>
      <c r="O25" s="551"/>
      <c r="P25" s="551"/>
      <c r="Q25" s="547"/>
      <c r="R25" s="173"/>
      <c r="S25" s="173"/>
      <c r="T25" s="532"/>
      <c r="V25" s="519" t="s">
        <v>367</v>
      </c>
      <c r="W25" s="637" t="str">
        <f t="shared" ca="1" si="4"/>
        <v>BALLAST</v>
      </c>
      <c r="X25" s="765" t="str">
        <f ca="1">$AA$76</f>
        <v>NONE</v>
      </c>
      <c r="Y25" s="765"/>
      <c r="Z25" s="533"/>
      <c r="AA25" s="637" t="str">
        <f t="shared" ca="1" si="1"/>
        <v>BALLAST</v>
      </c>
      <c r="AB25" s="765" t="str">
        <f ca="1">$AA$76</f>
        <v>NONE</v>
      </c>
      <c r="AC25" s="765"/>
      <c r="AD25" s="534"/>
      <c r="AE25" s="637" t="str">
        <f t="shared" ca="1" si="2"/>
        <v>BALLAST</v>
      </c>
      <c r="AF25" s="765" t="str">
        <f ca="1">$AA$76</f>
        <v>NONE</v>
      </c>
      <c r="AG25" s="765"/>
      <c r="AH25" s="534"/>
      <c r="AI25" s="637" t="str">
        <f t="shared" ca="1" si="3"/>
        <v>BALLAST</v>
      </c>
      <c r="AJ25" s="765" t="str">
        <f ca="1">$AA$76</f>
        <v>NONE</v>
      </c>
      <c r="AK25" s="765"/>
      <c r="AL25" s="534"/>
      <c r="AM25" s="637" t="str">
        <f t="shared" ca="1" si="5"/>
        <v>BALLAST</v>
      </c>
      <c r="AN25" s="765" t="str">
        <f ca="1">$AA$76</f>
        <v>NONE</v>
      </c>
      <c r="AO25" s="765"/>
      <c r="AP25" s="534"/>
    </row>
    <row r="26" spans="2:42" ht="15" hidden="1" customHeight="1" outlineLevel="1" x14ac:dyDescent="0.2">
      <c r="B26" s="558" t="s">
        <v>302</v>
      </c>
      <c r="C26" s="559" t="s">
        <v>262</v>
      </c>
      <c r="D26" s="560">
        <f ca="1">D25/(Radius_Tube*9.81)</f>
        <v>0</v>
      </c>
      <c r="E26" s="561" t="s">
        <v>248</v>
      </c>
      <c r="F26" s="528" t="s">
        <v>362</v>
      </c>
      <c r="G26" s="495"/>
      <c r="H26" s="495"/>
      <c r="I26" s="495"/>
      <c r="R26" s="562"/>
      <c r="S26" s="562"/>
      <c r="T26" s="597"/>
      <c r="V26" s="519" t="s">
        <v>615</v>
      </c>
      <c r="W26" s="637" t="str">
        <f t="shared" ca="1" si="4"/>
        <v>PRE-WRAP</v>
      </c>
      <c r="X26" s="765" t="str">
        <f>$AA$77</f>
        <v>No</v>
      </c>
      <c r="Y26" s="765"/>
      <c r="Z26" s="533"/>
      <c r="AA26" s="637" t="str">
        <f t="shared" ca="1" si="1"/>
        <v>PRE-WRAP</v>
      </c>
      <c r="AB26" s="765" t="str">
        <f>$AA$77</f>
        <v>No</v>
      </c>
      <c r="AC26" s="765"/>
      <c r="AD26" s="534"/>
      <c r="AE26" s="637" t="str">
        <f t="shared" ca="1" si="2"/>
        <v>PRE-WRAP</v>
      </c>
      <c r="AF26" s="765" t="str">
        <f>$AA$77</f>
        <v>No</v>
      </c>
      <c r="AG26" s="765"/>
      <c r="AH26" s="534"/>
      <c r="AI26" s="637" t="str">
        <f t="shared" ca="1" si="3"/>
        <v>PRE-WRAP</v>
      </c>
      <c r="AJ26" s="765" t="str">
        <f>$AA$77</f>
        <v>No</v>
      </c>
      <c r="AK26" s="765"/>
      <c r="AL26" s="534"/>
      <c r="AM26" s="637" t="str">
        <f t="shared" ca="1" si="5"/>
        <v>PRE-WRAP</v>
      </c>
      <c r="AN26" s="765" t="str">
        <f>$AA$77</f>
        <v>No</v>
      </c>
      <c r="AO26" s="765"/>
      <c r="AP26" s="534"/>
    </row>
    <row r="27" spans="2:42" ht="15" hidden="1" customHeight="1" outlineLevel="1" x14ac:dyDescent="0.2">
      <c r="B27" s="535"/>
      <c r="C27" s="563"/>
      <c r="D27" s="564"/>
      <c r="E27" s="523"/>
      <c r="F27" s="495"/>
      <c r="G27" s="495"/>
      <c r="H27" s="495"/>
      <c r="I27" s="510"/>
      <c r="K27" s="565" t="s">
        <v>286</v>
      </c>
      <c r="L27" s="566"/>
      <c r="M27" s="567"/>
      <c r="N27" s="568"/>
      <c r="O27" s="532"/>
      <c r="P27" s="532"/>
      <c r="Q27" s="569"/>
      <c r="R27" s="569"/>
      <c r="S27" s="569"/>
      <c r="T27" s="571"/>
      <c r="V27" s="519" t="s">
        <v>348</v>
      </c>
      <c r="W27" s="637" t="str">
        <f ca="1">IFERROR(INDEX(Language_Dictionary,MATCH(V27,Language_Base,0),MATCH(Language_Selected,Language_available,0)), "Language base not setup in dictionary")</f>
        <v>Tube</v>
      </c>
      <c r="X27" s="765" t="str">
        <f ca="1">$AA$78</f>
        <v>1.5" (38mm) Tube</v>
      </c>
      <c r="Y27" s="765"/>
      <c r="Z27" s="548"/>
      <c r="AA27" s="637" t="str">
        <f t="shared" ca="1" si="1"/>
        <v>Tube</v>
      </c>
      <c r="AB27" s="765" t="str">
        <f ca="1">$AA$78</f>
        <v>1.5" (38mm) Tube</v>
      </c>
      <c r="AC27" s="765"/>
      <c r="AD27" s="549"/>
      <c r="AE27" s="637" t="str">
        <f t="shared" ca="1" si="2"/>
        <v>Tube</v>
      </c>
      <c r="AF27" s="765" t="str">
        <f ca="1">$AA$78</f>
        <v>1.5" (38mm) Tube</v>
      </c>
      <c r="AG27" s="765"/>
      <c r="AH27" s="549"/>
      <c r="AI27" s="637" t="str">
        <f t="shared" ca="1" si="3"/>
        <v>Tube</v>
      </c>
      <c r="AJ27" s="765" t="str">
        <f ca="1">$AA$78</f>
        <v>1.5" (38mm) Tube</v>
      </c>
      <c r="AK27" s="765"/>
      <c r="AL27" s="549"/>
      <c r="AM27" s="637" t="str">
        <f t="shared" ca="1" si="5"/>
        <v>Tube</v>
      </c>
      <c r="AN27" s="765" t="str">
        <f ca="1">$AA$78</f>
        <v>1.5" (38mm) Tube</v>
      </c>
      <c r="AO27" s="765"/>
      <c r="AP27" s="549"/>
    </row>
    <row r="28" spans="2:42" ht="8.1" customHeight="1" collapsed="1" x14ac:dyDescent="0.2">
      <c r="B28" s="781" t="s">
        <v>305</v>
      </c>
      <c r="C28" s="782"/>
      <c r="D28" s="782"/>
      <c r="E28" s="783"/>
      <c r="F28" s="528" t="s">
        <v>362</v>
      </c>
      <c r="H28" s="571"/>
      <c r="I28" s="569"/>
      <c r="J28" s="475" t="s">
        <v>88</v>
      </c>
      <c r="K28" s="497" t="str">
        <f ca="1">IFERROR(INDEX(Language_Dictionary,MATCH(J28,Language_Base,0),MATCH(Language_Selected,Language_available,0)), "Language base not setup in dictionary")</f>
        <v>HEM BAR</v>
      </c>
      <c r="L28" s="572">
        <v>0.1</v>
      </c>
      <c r="M28" s="83"/>
      <c r="N28" s="785" t="str">
        <f>IF(LEFT(input_wb,6)="Custom","← Input Weight Bar Mass","")</f>
        <v/>
      </c>
      <c r="O28" s="785"/>
      <c r="P28" s="785"/>
      <c r="Q28" s="569"/>
      <c r="R28" s="569"/>
      <c r="S28" s="569"/>
      <c r="T28" s="510"/>
      <c r="V28" s="552"/>
      <c r="W28" s="650"/>
      <c r="X28" s="508"/>
      <c r="Y28" s="512"/>
      <c r="Z28" s="548"/>
      <c r="AA28" s="553"/>
      <c r="AB28" s="512"/>
      <c r="AC28" s="512"/>
      <c r="AD28" s="549"/>
      <c r="AE28" s="553"/>
      <c r="AF28" s="512"/>
      <c r="AG28" s="512"/>
      <c r="AH28" s="549"/>
      <c r="AI28" s="553"/>
      <c r="AJ28" s="512"/>
      <c r="AK28" s="512"/>
      <c r="AL28" s="549"/>
      <c r="AM28" s="553"/>
      <c r="AN28" s="512"/>
      <c r="AO28" s="512"/>
      <c r="AP28" s="549"/>
    </row>
    <row r="29" spans="2:42" ht="24.95" customHeight="1" x14ac:dyDescent="0.2">
      <c r="B29" s="576" t="s">
        <v>307</v>
      </c>
      <c r="C29" s="577" t="s">
        <v>262</v>
      </c>
      <c r="D29" s="578" t="e">
        <f ca="1">blind_weight*9.81</f>
        <v>#N/A</v>
      </c>
      <c r="E29" s="577" t="s">
        <v>251</v>
      </c>
      <c r="F29" s="528" t="s">
        <v>362</v>
      </c>
      <c r="H29" s="510"/>
      <c r="I29" s="569"/>
      <c r="J29" s="475" t="s">
        <v>367</v>
      </c>
      <c r="K29" s="497" t="str">
        <f ca="1">IFERROR(INDEX(Language_Dictionary,MATCH(J29,Language_Base,0),MATCH(Language_Selected,Language_available,0)), "Language base not setup in dictionary")</f>
        <v>BALLAST</v>
      </c>
      <c r="L29" s="579">
        <v>0.2</v>
      </c>
      <c r="M29" s="109"/>
      <c r="N29" s="785" t="str">
        <f>IF(LEFT(input_ballast,6)="Custom","← Input Ballast Mass","")</f>
        <v/>
      </c>
      <c r="O29" s="785"/>
      <c r="P29" s="785"/>
      <c r="Q29" s="569"/>
      <c r="R29" s="569"/>
      <c r="S29" s="569"/>
      <c r="T29" s="562"/>
      <c r="V29" s="519" t="s">
        <v>273</v>
      </c>
      <c r="W29" s="637" t="str">
        <f ca="1">IFERROR(INDEX(Language_Dictionary,MATCH(V29,Language_Base,0),MATCH(Language_Selected,Language_available,0)), "Language base not setup in dictionary")</f>
        <v>SHADE WEIGHT</v>
      </c>
      <c r="X29" s="554">
        <f ca="1">IF($AF$3='Chart Parameters'!$H$19,X48/conv_kg,X48)</f>
        <v>5.4232941888528643</v>
      </c>
      <c r="Y29" s="638" t="str">
        <f>IF($AF$3='Chart Parameters'!$H$19,"lb","kg")</f>
        <v>lb</v>
      </c>
      <c r="Z29" s="548"/>
      <c r="AA29" s="637" t="str">
        <f ca="1">IF(ISBLANK(W29),"",W29)</f>
        <v>SHADE WEIGHT</v>
      </c>
      <c r="AB29" s="554">
        <f ca="1">IF($AF$3='Chart Parameters'!$H$19,AB48/conv_kg,AB48)</f>
        <v>5.4232941888528643</v>
      </c>
      <c r="AC29" s="638" t="str">
        <f>IF($AF$3='Chart Parameters'!$H$19,"lb","kg")</f>
        <v>lb</v>
      </c>
      <c r="AD29" s="549"/>
      <c r="AE29" s="637" t="str">
        <f ca="1">IF(ISBLANK(AA29),"",AA29)</f>
        <v>SHADE WEIGHT</v>
      </c>
      <c r="AF29" s="554">
        <f ca="1">IF($AF$3='Chart Parameters'!$H$19,AF48/conv_kg,AF48)</f>
        <v>0</v>
      </c>
      <c r="AG29" s="638" t="str">
        <f>IF($AF$3='Chart Parameters'!$H$19,"lb","kg")</f>
        <v>lb</v>
      </c>
      <c r="AH29" s="549"/>
      <c r="AI29" s="637" t="str">
        <f ca="1">IF(ISBLANK(AE29),"",AE29)</f>
        <v>SHADE WEIGHT</v>
      </c>
      <c r="AJ29" s="554">
        <f ca="1">IF($AF$3='Chart Parameters'!$H$19,AJ48/conv_kg,AJ48)</f>
        <v>0</v>
      </c>
      <c r="AK29" s="638" t="str">
        <f>IF($AF$3='Chart Parameters'!$H$19,"lb","kg")</f>
        <v>lb</v>
      </c>
      <c r="AL29" s="549"/>
      <c r="AM29" s="637" t="str">
        <f ca="1">IF(ISBLANK(AI29),"",AI29)</f>
        <v>SHADE WEIGHT</v>
      </c>
      <c r="AN29" s="554">
        <f ca="1">IF($AF$3='Chart Parameters'!$H$19,AN48/conv_kg,AN48)</f>
        <v>0</v>
      </c>
      <c r="AO29" s="638" t="str">
        <f>IF($AF$3='Chart Parameters'!$H$19,"lb","kg")</f>
        <v>lb</v>
      </c>
      <c r="AP29" s="549"/>
    </row>
    <row r="30" spans="2:42" ht="24.95" customHeight="1" x14ac:dyDescent="0.2">
      <c r="B30" s="576" t="s">
        <v>308</v>
      </c>
      <c r="C30" s="577" t="s">
        <v>262</v>
      </c>
      <c r="D30" s="578" t="e">
        <f ca="1">D29*D17</f>
        <v>#N/A</v>
      </c>
      <c r="E30" s="577" t="s">
        <v>220</v>
      </c>
      <c r="F30" s="528" t="s">
        <v>362</v>
      </c>
      <c r="H30" s="569"/>
      <c r="R30" s="562"/>
      <c r="S30" s="562"/>
      <c r="V30" s="519" t="s">
        <v>317</v>
      </c>
      <c r="W30" s="637" t="str">
        <f ca="1">IFERROR(INDEX(Language_Dictionary,MATCH(V30,Language_Base,0),MATCH(Language_Selected,Language_available,0)), "Language base not setup in dictionary")</f>
        <v>ROLL SIZE</v>
      </c>
      <c r="X30" s="557">
        <f ca="1">IF($AF$3='Chart Parameters'!$H$19,X61/conv_mm,X61)</f>
        <v>2.1640290752081075</v>
      </c>
      <c r="Y30" s="638" t="str">
        <f>IF($AF$3='Chart Parameters'!$H$19,"inch","mm")</f>
        <v>inch</v>
      </c>
      <c r="Z30" s="548"/>
      <c r="AA30" s="637" t="str">
        <f ca="1">IF(ISBLANK(W30),"",W30)</f>
        <v>ROLL SIZE</v>
      </c>
      <c r="AB30" s="557">
        <f ca="1">IF($AF$3='Chart Parameters'!$H$19,AB61/conv_mm,AB61)</f>
        <v>2.1640290752081075</v>
      </c>
      <c r="AC30" s="638" t="str">
        <f>IF($AF$3='Chart Parameters'!$H$19,"inch","mm")</f>
        <v>inch</v>
      </c>
      <c r="AD30" s="549"/>
      <c r="AE30" s="637" t="str">
        <f ca="1">IF(ISBLANK(AA30),"",AA30)</f>
        <v>ROLL SIZE</v>
      </c>
      <c r="AF30" s="557">
        <f>IF($AF$3='Chart Parameters'!$H$19,AF61/conv_mm,AF61)</f>
        <v>0</v>
      </c>
      <c r="AG30" s="638" t="str">
        <f>IF($AF$3='Chart Parameters'!$H$19,"inch","mm")</f>
        <v>inch</v>
      </c>
      <c r="AH30" s="549"/>
      <c r="AI30" s="637" t="str">
        <f ca="1">IF(ISBLANK(AE30),"",AE30)</f>
        <v>ROLL SIZE</v>
      </c>
      <c r="AJ30" s="557">
        <f>IF($AF$3='Chart Parameters'!$H$19,AJ61/conv_mm,AJ61)</f>
        <v>0</v>
      </c>
      <c r="AK30" s="638" t="str">
        <f>IF($AF$3='Chart Parameters'!$H$19,"inch","mm")</f>
        <v>inch</v>
      </c>
      <c r="AL30" s="549"/>
      <c r="AM30" s="637" t="str">
        <f ca="1">IF(ISBLANK(AI30),"",AI30)</f>
        <v>ROLL SIZE</v>
      </c>
      <c r="AN30" s="557">
        <f>IF($AF$3='Chart Parameters'!$H$19,AN61/conv_mm,AN61)</f>
        <v>0</v>
      </c>
      <c r="AO30" s="638" t="str">
        <f>IF($AF$3='Chart Parameters'!$H$19,"inch","mm")</f>
        <v>inch</v>
      </c>
      <c r="AP30" s="549"/>
    </row>
    <row r="31" spans="2:42" ht="24.95" customHeight="1" x14ac:dyDescent="0.2">
      <c r="B31" s="576" t="s">
        <v>309</v>
      </c>
      <c r="C31" s="577" t="s">
        <v>262</v>
      </c>
      <c r="D31" s="578">
        <v>0.25</v>
      </c>
      <c r="E31" s="577" t="s">
        <v>220</v>
      </c>
      <c r="F31" s="528" t="s">
        <v>362</v>
      </c>
      <c r="H31" s="569"/>
      <c r="J31" s="495"/>
      <c r="K31" s="791" t="s">
        <v>293</v>
      </c>
      <c r="L31" s="791"/>
      <c r="M31" s="791"/>
      <c r="N31" s="791"/>
      <c r="O31" s="791"/>
      <c r="P31" s="791"/>
      <c r="Q31" s="580"/>
      <c r="R31" s="581"/>
      <c r="S31" s="581"/>
      <c r="V31" s="519" t="s">
        <v>614</v>
      </c>
      <c r="W31" s="637" t="str">
        <f ca="1">IFERROR(INDEX(Language_Dictionary,MATCH(V31,Language_Base,0),MATCH(Language_Selected,Language_available,0)), "Language base not setup in dictionary")</f>
        <v>SHADE TORQUE</v>
      </c>
      <c r="X31" s="554">
        <f ca="1">IF($AF$3='Chart Parameters'!$H$19,X50/conv_Nm,X50)</f>
        <v>4.1233264983151257</v>
      </c>
      <c r="Y31" s="639" t="str">
        <f>IF($AF$3='Chart Parameters'!$H$19,"lbf-in","Nm")</f>
        <v>lbf-in</v>
      </c>
      <c r="Z31" s="548"/>
      <c r="AA31" s="637" t="str">
        <f ca="1">IF(ISBLANK(W31),"",W31)</f>
        <v>SHADE TORQUE</v>
      </c>
      <c r="AB31" s="554">
        <f ca="1">IF($AF$3='Chart Parameters'!$H$19,AB50/conv_Nm,AB50)</f>
        <v>4.1233264983151257</v>
      </c>
      <c r="AC31" s="639" t="str">
        <f>IF($AF$3='Chart Parameters'!$H$19,"lbf-in","Nm")</f>
        <v>lbf-in</v>
      </c>
      <c r="AD31" s="549"/>
      <c r="AE31" s="637" t="str">
        <f ca="1">IF(ISBLANK(AA31),"",AA31)</f>
        <v>SHADE TORQUE</v>
      </c>
      <c r="AF31" s="554">
        <f ca="1">IF($AF$3='Chart Parameters'!$H$19,AF50/conv_Nm,AF50)</f>
        <v>0</v>
      </c>
      <c r="AG31" s="639" t="str">
        <f>IF($AF$3='Chart Parameters'!$H$19,"lbf-in","Nm")</f>
        <v>lbf-in</v>
      </c>
      <c r="AH31" s="549"/>
      <c r="AI31" s="637" t="str">
        <f ca="1">IF(ISBLANK(AE31),"",AE31)</f>
        <v>SHADE TORQUE</v>
      </c>
      <c r="AJ31" s="554">
        <f ca="1">IF($AF$3='Chart Parameters'!$H$19,AJ50/conv_Nm,AJ50)</f>
        <v>0</v>
      </c>
      <c r="AK31" s="639" t="str">
        <f>IF($AF$3='Chart Parameters'!$H$19,"lbf-in","Nm")</f>
        <v>lbf-in</v>
      </c>
      <c r="AL31" s="549"/>
      <c r="AM31" s="637" t="str">
        <f ca="1">IF(ISBLANK(AI31),"",AI31)</f>
        <v>SHADE TORQUE</v>
      </c>
      <c r="AN31" s="554">
        <f ca="1">IF($AF$3='Chart Parameters'!$H$19,AN50/conv_Nm,AN50)</f>
        <v>0</v>
      </c>
      <c r="AO31" s="639" t="str">
        <f>IF($AF$3='Chart Parameters'!$H$19,"lbf-in","Nm")</f>
        <v>lbf-in</v>
      </c>
      <c r="AP31" s="549"/>
    </row>
    <row r="32" spans="2:42" ht="8.1" customHeight="1" x14ac:dyDescent="0.2">
      <c r="B32" s="576" t="s">
        <v>310</v>
      </c>
      <c r="C32" s="577" t="s">
        <v>262</v>
      </c>
      <c r="D32" s="578">
        <f>IF(input_control="AERO",D31,0)</f>
        <v>0</v>
      </c>
      <c r="E32" s="577" t="s">
        <v>220</v>
      </c>
      <c r="F32" s="528" t="s">
        <v>362</v>
      </c>
      <c r="H32" s="569"/>
      <c r="J32" s="528" t="s">
        <v>362</v>
      </c>
      <c r="K32" s="582" t="s">
        <v>295</v>
      </c>
      <c r="L32" s="583" t="s">
        <v>296</v>
      </c>
      <c r="M32" s="584" t="str">
        <f>IF(input_control="AERO",IFERROR(blind_weight,"-"),"-")</f>
        <v>-</v>
      </c>
      <c r="N32" s="544" t="s">
        <v>248</v>
      </c>
      <c r="O32" s="785" t="str">
        <f>IF(input_control="AERO",IFERROR(IF(NOT(ISNUMBER(D62)),"",IF(D30&gt;D62,"Exceeded maximum Blind Mass.","")),""),"")</f>
        <v/>
      </c>
      <c r="P32" s="785"/>
      <c r="Q32" s="580"/>
      <c r="R32" s="581"/>
      <c r="S32" s="581"/>
      <c r="V32" s="552"/>
      <c r="W32" s="650"/>
      <c r="X32" s="508"/>
      <c r="Y32" s="512"/>
      <c r="Z32" s="548"/>
      <c r="AA32" s="650"/>
      <c r="AB32" s="508"/>
      <c r="AC32" s="512"/>
      <c r="AD32" s="549"/>
      <c r="AE32" s="650"/>
      <c r="AF32" s="508"/>
      <c r="AG32" s="512"/>
      <c r="AH32" s="549"/>
      <c r="AI32" s="650"/>
      <c r="AJ32" s="508"/>
      <c r="AK32" s="512"/>
      <c r="AL32" s="549"/>
      <c r="AM32" s="650"/>
      <c r="AN32" s="508"/>
      <c r="AO32" s="512"/>
      <c r="AP32" s="549"/>
    </row>
    <row r="33" spans="2:42" ht="24.95" customHeight="1" x14ac:dyDescent="0.2">
      <c r="B33" s="576" t="s">
        <v>311</v>
      </c>
      <c r="C33" s="577" t="s">
        <v>262</v>
      </c>
      <c r="D33" s="578" t="e">
        <f ca="1">D24-D30+D32</f>
        <v>#VALUE!</v>
      </c>
      <c r="E33" s="577" t="s">
        <v>220</v>
      </c>
      <c r="F33" s="528" t="s">
        <v>362</v>
      </c>
      <c r="H33" s="569"/>
      <c r="J33" s="510"/>
      <c r="K33" s="585" t="s">
        <v>298</v>
      </c>
      <c r="L33" s="526"/>
      <c r="M33" s="586" t="str">
        <f>IFERROR(VLOOKUP(input_tube,tube_defl_lookup,10,FALSE)/conv_mm,"-")</f>
        <v>-</v>
      </c>
      <c r="N33" s="526"/>
      <c r="O33" s="587"/>
      <c r="P33" s="588"/>
      <c r="Q33" s="532"/>
      <c r="R33" s="589"/>
      <c r="S33" s="589"/>
      <c r="T33" s="569"/>
      <c r="V33" s="552" t="s">
        <v>864</v>
      </c>
      <c r="W33" s="552"/>
      <c r="X33" s="508"/>
      <c r="Y33" s="508"/>
      <c r="Z33" s="548"/>
      <c r="AA33" s="637" t="str">
        <f ca="1">X8</f>
        <v>LINK 1 TORQUE</v>
      </c>
      <c r="AB33" s="554">
        <f ca="1">AB51/conv_Nm</f>
        <v>4.1233264983151257</v>
      </c>
      <c r="AC33" s="638" t="str">
        <f>IF($AF$3='Chart Parameters'!$H$19,"lbf-in","Nm")</f>
        <v>lbf-in</v>
      </c>
      <c r="AD33" s="549"/>
      <c r="AE33" s="637" t="str">
        <f ca="1">AB8</f>
        <v>LINK 2 TORQUE</v>
      </c>
      <c r="AF33" s="554">
        <f ca="1">AF51/conv_Nm</f>
        <v>0</v>
      </c>
      <c r="AG33" s="638" t="str">
        <f>IF($AF$3='Chart Parameters'!$H$19,"lbf-in","Nm")</f>
        <v>lbf-in</v>
      </c>
      <c r="AH33" s="549"/>
      <c r="AI33" s="637" t="str">
        <f ca="1">AF8</f>
        <v>LINK 3 TORQUE</v>
      </c>
      <c r="AJ33" s="554">
        <f ca="1">AJ51/conv_Nm</f>
        <v>0</v>
      </c>
      <c r="AK33" s="638" t="str">
        <f>IF($AF$3='Chart Parameters'!$H$19,"lbf-in","Nm")</f>
        <v>lbf-in</v>
      </c>
      <c r="AL33" s="549"/>
      <c r="AM33" s="637" t="str">
        <f ca="1">AJ8</f>
        <v>LINK 4 TORQUE</v>
      </c>
      <c r="AN33" s="554">
        <f ca="1">AN51/conv_Nm</f>
        <v>0</v>
      </c>
      <c r="AO33" s="638" t="str">
        <f>IF($AF$3='Chart Parameters'!$H$19,"lbf-in","Nm")</f>
        <v>lbf-in</v>
      </c>
      <c r="AP33" s="549"/>
    </row>
    <row r="34" spans="2:42" ht="18.75" hidden="1" customHeight="1" outlineLevel="1" x14ac:dyDescent="0.2">
      <c r="B34" s="576" t="s">
        <v>312</v>
      </c>
      <c r="C34" s="577" t="s">
        <v>262</v>
      </c>
      <c r="D34" s="578">
        <v>49.3</v>
      </c>
      <c r="E34" s="577" t="s">
        <v>28</v>
      </c>
      <c r="F34" s="528" t="s">
        <v>362</v>
      </c>
      <c r="H34" s="569"/>
      <c r="J34" s="569"/>
      <c r="K34" s="590" t="s">
        <v>300</v>
      </c>
      <c r="L34" s="559" t="s">
        <v>301</v>
      </c>
      <c r="M34" s="591" t="e">
        <f>IF(ISBLANK(L21),"-",IF(input_control="","-",VLOOKUP(L21,bkt_pitch_lookup,2,FALSE)))</f>
        <v>#NAME?</v>
      </c>
      <c r="N34" s="572" t="s">
        <v>28</v>
      </c>
      <c r="O34" s="773"/>
      <c r="P34" s="773"/>
      <c r="Q34" s="532"/>
      <c r="R34" s="532"/>
      <c r="S34" s="532"/>
      <c r="T34" s="569"/>
      <c r="V34" s="552"/>
      <c r="W34" s="650"/>
      <c r="X34" s="508"/>
      <c r="Y34" s="512"/>
      <c r="Z34" s="548"/>
      <c r="AA34" s="650"/>
      <c r="AB34" s="508"/>
      <c r="AC34" s="512"/>
      <c r="AD34" s="549"/>
      <c r="AE34" s="650"/>
      <c r="AF34" s="508"/>
      <c r="AG34" s="512"/>
      <c r="AH34" s="549"/>
      <c r="AI34" s="650"/>
      <c r="AJ34" s="508"/>
      <c r="AK34" s="512"/>
      <c r="AL34" s="549"/>
      <c r="AM34" s="659"/>
      <c r="AN34" s="628"/>
      <c r="AO34" s="658"/>
      <c r="AP34" s="549"/>
    </row>
    <row r="35" spans="2:42" ht="18.75" hidden="1" customHeight="1" outlineLevel="1" x14ac:dyDescent="0.2">
      <c r="B35" s="576" t="s">
        <v>314</v>
      </c>
      <c r="C35" s="577" t="s">
        <v>262</v>
      </c>
      <c r="D35" s="593">
        <f>D34*0.1^3/2</f>
        <v>2.4650000000000005E-2</v>
      </c>
      <c r="E35" s="577" t="s">
        <v>245</v>
      </c>
      <c r="F35" s="528" t="s">
        <v>362</v>
      </c>
      <c r="H35" s="569"/>
      <c r="J35" s="569"/>
      <c r="K35" s="594"/>
      <c r="L35" s="559" t="s">
        <v>303</v>
      </c>
      <c r="M35" s="591" t="e">
        <f ca="1">IF(ISBLANK(L21),"-",IF(input_control="","-",PI()*(M34^2-D16^2)/(4000*L12)))</f>
        <v>#NAME?</v>
      </c>
      <c r="N35" s="572" t="s">
        <v>245</v>
      </c>
      <c r="O35" s="773"/>
      <c r="P35" s="773"/>
      <c r="Q35" s="532"/>
      <c r="R35" s="532"/>
      <c r="S35" s="532"/>
      <c r="T35" s="569"/>
      <c r="V35" s="552"/>
      <c r="W35" s="650"/>
      <c r="X35" s="508"/>
      <c r="Y35" s="512"/>
      <c r="Z35" s="548"/>
      <c r="AA35" s="650"/>
      <c r="AB35" s="508"/>
      <c r="AC35" s="512"/>
      <c r="AD35" s="549"/>
      <c r="AE35" s="650"/>
      <c r="AF35" s="508"/>
      <c r="AG35" s="512"/>
      <c r="AH35" s="549"/>
      <c r="AI35" s="650"/>
      <c r="AJ35" s="508"/>
      <c r="AK35" s="512"/>
      <c r="AL35" s="549"/>
      <c r="AM35" s="659"/>
      <c r="AN35" s="628"/>
      <c r="AO35" s="658"/>
      <c r="AP35" s="549"/>
    </row>
    <row r="36" spans="2:42" ht="18.75" hidden="1" customHeight="1" outlineLevel="1" x14ac:dyDescent="0.2">
      <c r="B36" s="576" t="s">
        <v>315</v>
      </c>
      <c r="C36" s="577" t="s">
        <v>262</v>
      </c>
      <c r="D36" s="578" t="e">
        <f ca="1">D33/D35</f>
        <v>#VALUE!</v>
      </c>
      <c r="E36" s="577" t="s">
        <v>251</v>
      </c>
      <c r="F36" s="528" t="s">
        <v>362</v>
      </c>
      <c r="H36" s="569"/>
      <c r="J36" s="528" t="s">
        <v>362</v>
      </c>
      <c r="K36" s="526" t="s">
        <v>304</v>
      </c>
      <c r="L36" s="544" t="str">
        <f>IF(LEN(input_control)&lt;1,"",IFERROR(IF(LEN(N36)&lt;1,"Within Limiter Capacity",""),""))</f>
        <v>Within Limiter Capacity</v>
      </c>
      <c r="M36" s="596"/>
      <c r="N36" s="774" t="str">
        <f>IFERROR(IF(AND(ESULimiter_Check&gt;ESULimiter_Max,input_control="ESU"),"Limiter specification cannot achieve input specifications",""),"")</f>
        <v/>
      </c>
      <c r="O36" s="774"/>
      <c r="P36" s="774"/>
      <c r="Q36" s="597"/>
      <c r="R36" s="597"/>
      <c r="S36" s="597"/>
      <c r="T36" s="569"/>
      <c r="V36" s="552"/>
      <c r="W36" s="650"/>
      <c r="X36" s="508"/>
      <c r="Y36" s="512"/>
      <c r="Z36" s="548"/>
      <c r="AA36" s="650"/>
      <c r="AB36" s="508"/>
      <c r="AC36" s="512"/>
      <c r="AD36" s="549"/>
      <c r="AE36" s="650"/>
      <c r="AF36" s="508"/>
      <c r="AG36" s="512"/>
      <c r="AH36" s="549"/>
      <c r="AI36" s="650"/>
      <c r="AJ36" s="508"/>
      <c r="AK36" s="512"/>
      <c r="AL36" s="549"/>
      <c r="AM36" s="659"/>
      <c r="AN36" s="628"/>
      <c r="AO36" s="658"/>
      <c r="AP36" s="549"/>
    </row>
    <row r="37" spans="2:42" ht="18.75" hidden="1" customHeight="1" outlineLevel="1" x14ac:dyDescent="0.2">
      <c r="B37" s="576" t="s">
        <v>316</v>
      </c>
      <c r="C37" s="577" t="s">
        <v>262</v>
      </c>
      <c r="D37" s="578" t="e">
        <f ca="1">D36/9.81</f>
        <v>#VALUE!</v>
      </c>
      <c r="E37" s="577" t="s">
        <v>248</v>
      </c>
      <c r="F37" s="528" t="s">
        <v>362</v>
      </c>
      <c r="H37" s="569"/>
      <c r="J37" s="528" t="s">
        <v>362</v>
      </c>
      <c r="K37" s="786" t="s">
        <v>306</v>
      </c>
      <c r="L37" s="598"/>
      <c r="M37" s="599" t="str">
        <f>IF(L37=0,"","← Booster Recommendation")</f>
        <v/>
      </c>
      <c r="N37" s="787"/>
      <c r="O37" s="788"/>
      <c r="P37" s="789"/>
      <c r="Q37" s="571"/>
      <c r="R37" s="571"/>
      <c r="S37" s="571"/>
      <c r="T37" s="569"/>
      <c r="V37" s="552"/>
      <c r="W37" s="570" t="s">
        <v>320</v>
      </c>
      <c r="X37" s="568"/>
      <c r="Y37" s="567"/>
      <c r="Z37" s="548"/>
      <c r="AA37" s="570" t="s">
        <v>320</v>
      </c>
      <c r="AB37" s="568"/>
      <c r="AC37" s="567"/>
      <c r="AD37" s="549"/>
      <c r="AE37" s="570" t="s">
        <v>320</v>
      </c>
      <c r="AF37" s="568"/>
      <c r="AG37" s="567"/>
      <c r="AH37" s="549"/>
      <c r="AI37" s="570" t="s">
        <v>320</v>
      </c>
      <c r="AJ37" s="568"/>
      <c r="AK37" s="567"/>
      <c r="AL37" s="549"/>
      <c r="AM37" s="570" t="s">
        <v>320</v>
      </c>
      <c r="AN37" s="568"/>
      <c r="AO37" s="567"/>
      <c r="AP37" s="549"/>
    </row>
    <row r="38" spans="2:42" ht="18.75" hidden="1" customHeight="1" outlineLevel="1" x14ac:dyDescent="0.2">
      <c r="B38" s="784" t="s">
        <v>317</v>
      </c>
      <c r="C38" s="784"/>
      <c r="D38" s="784"/>
      <c r="E38" s="784"/>
      <c r="J38" s="528" t="s">
        <v>362</v>
      </c>
      <c r="K38" s="786"/>
      <c r="L38" s="600" t="str">
        <f>IF(LEFT(L37,4)="RB12",IFERROR(preturn_rec,0),"")</f>
        <v/>
      </c>
      <c r="M38" s="599" t="str">
        <f>IF(L38=0,"","← No. of Pre-Turns Recommendation")</f>
        <v>← No. of Pre-Turns Recommendation</v>
      </c>
      <c r="N38" s="790"/>
      <c r="O38" s="788"/>
      <c r="P38" s="789"/>
      <c r="Q38" s="510"/>
      <c r="R38" s="510"/>
      <c r="S38" s="510"/>
      <c r="T38" s="569"/>
      <c r="U38" s="569"/>
      <c r="V38" s="552"/>
      <c r="W38" s="573" t="s">
        <v>267</v>
      </c>
      <c r="X38" s="493">
        <f ca="1">IF($AF$3='Chart Parameters'!$H$19,X22*conv_gsm,X22)</f>
        <v>671.333799312</v>
      </c>
      <c r="Y38" s="574" t="s">
        <v>235</v>
      </c>
      <c r="Z38" s="548"/>
      <c r="AA38" s="573" t="s">
        <v>267</v>
      </c>
      <c r="AB38" s="493">
        <f ca="1">IF($AF$3='Chart Parameters'!$H$19,AB22*conv_gsm,AB22)</f>
        <v>671.333799312</v>
      </c>
      <c r="AC38" s="574" t="s">
        <v>235</v>
      </c>
      <c r="AD38" s="549"/>
      <c r="AE38" s="573" t="s">
        <v>267</v>
      </c>
      <c r="AF38" s="493">
        <f ca="1">IF($AF$3='Chart Parameters'!$H$19,AF22*conv_gsm,AF22)</f>
        <v>671.333799312</v>
      </c>
      <c r="AG38" s="575" t="s">
        <v>235</v>
      </c>
      <c r="AH38" s="549"/>
      <c r="AI38" s="573" t="s">
        <v>267</v>
      </c>
      <c r="AJ38" s="493">
        <f ca="1">IF($AF$3='Chart Parameters'!$H$19,AJ22*conv_gsm,AJ22)</f>
        <v>671.333799312</v>
      </c>
      <c r="AK38" s="575" t="s">
        <v>235</v>
      </c>
      <c r="AL38" s="549"/>
      <c r="AM38" s="573" t="s">
        <v>267</v>
      </c>
      <c r="AN38" s="493">
        <f ca="1">IF($AF$3='Chart Parameters'!$H$19,AN22*conv_gsm,AN22)</f>
        <v>671.333799312</v>
      </c>
      <c r="AO38" s="575" t="s">
        <v>235</v>
      </c>
      <c r="AP38" s="549"/>
    </row>
    <row r="39" spans="2:42" hidden="1" outlineLevel="1" x14ac:dyDescent="0.2">
      <c r="B39" s="601" t="s">
        <v>318</v>
      </c>
      <c r="C39" s="538" t="s">
        <v>262</v>
      </c>
      <c r="D39" s="556">
        <f>-(X41+pwa*10^3)/PI()</f>
        <v>-485.10426654409702</v>
      </c>
      <c r="E39" s="602"/>
      <c r="Q39" s="503"/>
      <c r="R39" s="562"/>
      <c r="S39" s="562"/>
      <c r="T39" s="569"/>
      <c r="U39" s="569"/>
      <c r="V39" s="552"/>
      <c r="W39" s="573" t="s">
        <v>323</v>
      </c>
      <c r="X39" s="492">
        <f ca="1">IF($AF$3='Chart Parameters'!$H$19,X23*conv_mm,X23)</f>
        <v>0.58419999614427998</v>
      </c>
      <c r="Y39" s="574" t="s">
        <v>28</v>
      </c>
      <c r="Z39" s="548"/>
      <c r="AA39" s="573" t="s">
        <v>323</v>
      </c>
      <c r="AB39" s="492">
        <f ca="1">IF($AF$3='Chart Parameters'!$H$19,AB23*conv_mm,AB23)</f>
        <v>0.58419999614427998</v>
      </c>
      <c r="AC39" s="574" t="s">
        <v>28</v>
      </c>
      <c r="AD39" s="549"/>
      <c r="AE39" s="573" t="s">
        <v>323</v>
      </c>
      <c r="AF39" s="492">
        <f ca="1">IF($AF$3='Chart Parameters'!$H$19,AF23*conv_mm,AF23)</f>
        <v>0.58419999614427998</v>
      </c>
      <c r="AG39" s="575" t="s">
        <v>28</v>
      </c>
      <c r="AH39" s="549"/>
      <c r="AI39" s="573" t="s">
        <v>323</v>
      </c>
      <c r="AJ39" s="492">
        <f ca="1">IF($AF$3='Chart Parameters'!$H$19,AJ23*conv_mm,AJ23)</f>
        <v>0.58419999614427998</v>
      </c>
      <c r="AK39" s="575" t="s">
        <v>28</v>
      </c>
      <c r="AL39" s="549"/>
      <c r="AM39" s="573" t="s">
        <v>323</v>
      </c>
      <c r="AN39" s="492">
        <f ca="1">IF($AF$3='Chart Parameters'!$H$19,AN23*conv_mm,AN23)</f>
        <v>0.58419999614427998</v>
      </c>
      <c r="AO39" s="575" t="s">
        <v>28</v>
      </c>
      <c r="AP39" s="549"/>
    </row>
    <row r="40" spans="2:42" hidden="1" outlineLevel="1" x14ac:dyDescent="0.2">
      <c r="B40" s="601" t="s">
        <v>319</v>
      </c>
      <c r="C40" s="538" t="s">
        <v>262</v>
      </c>
      <c r="D40" s="556">
        <f ca="1">D16-X39</f>
        <v>43.56580000385572</v>
      </c>
      <c r="E40" s="602"/>
      <c r="G40" s="508"/>
      <c r="T40" s="569"/>
      <c r="U40" s="569"/>
      <c r="V40" s="552"/>
      <c r="W40" s="573" t="s">
        <v>326</v>
      </c>
      <c r="X40" s="492">
        <f>IF($AF$3='Chart Parameters'!$H$19,X20*conv_mm,X20)</f>
        <v>2032</v>
      </c>
      <c r="Y40" s="574" t="s">
        <v>28</v>
      </c>
      <c r="Z40" s="548"/>
      <c r="AA40" s="573" t="s">
        <v>326</v>
      </c>
      <c r="AB40" s="492">
        <f>IF($AF$3='Chart Parameters'!$H$19,AB20*conv_mm,AB20)</f>
        <v>2032</v>
      </c>
      <c r="AC40" s="574" t="s">
        <v>28</v>
      </c>
      <c r="AD40" s="549"/>
      <c r="AE40" s="573" t="s">
        <v>326</v>
      </c>
      <c r="AF40" s="492">
        <f>IF($AF$3='Chart Parameters'!$H$19,AF20*conv_mm,AF20)</f>
        <v>2032</v>
      </c>
      <c r="AG40" s="575" t="s">
        <v>28</v>
      </c>
      <c r="AH40" s="549"/>
      <c r="AI40" s="573" t="s">
        <v>326</v>
      </c>
      <c r="AJ40" s="492">
        <f>IF($AF$3='Chart Parameters'!$H$19,AJ20*conv_mm,AJ20)</f>
        <v>2032</v>
      </c>
      <c r="AK40" s="575" t="s">
        <v>28</v>
      </c>
      <c r="AL40" s="549"/>
      <c r="AM40" s="573" t="s">
        <v>326</v>
      </c>
      <c r="AN40" s="492">
        <f>IF($AF$3='Chart Parameters'!$H$19,AN20*conv_mm,AN20)</f>
        <v>2032</v>
      </c>
      <c r="AO40" s="575" t="s">
        <v>28</v>
      </c>
      <c r="AP40" s="549"/>
    </row>
    <row r="41" spans="2:42" hidden="1" outlineLevel="1" x14ac:dyDescent="0.2">
      <c r="B41" s="601" t="s">
        <v>321</v>
      </c>
      <c r="C41" s="538" t="s">
        <v>262</v>
      </c>
      <c r="D41" s="556">
        <f ca="1">(-D16+SQRT(D16^2 - 4*X39*D39))/(2*X39)</f>
        <v>9.7339058996883505</v>
      </c>
      <c r="E41" s="602"/>
      <c r="G41" s="508"/>
      <c r="T41" s="569"/>
      <c r="U41" s="569"/>
      <c r="V41" s="552"/>
      <c r="W41" s="573" t="s">
        <v>324</v>
      </c>
      <c r="X41" s="492">
        <f>IF($AF$3='Chart Parameters'!$H$19,X19*conv_mm,X19)</f>
        <v>1524</v>
      </c>
      <c r="Y41" s="574" t="s">
        <v>28</v>
      </c>
      <c r="Z41" s="548"/>
      <c r="AA41" s="573" t="s">
        <v>324</v>
      </c>
      <c r="AB41" s="492">
        <f>IF($AF$3='Chart Parameters'!$H$19,AB19*conv_mm,AB19)</f>
        <v>1524</v>
      </c>
      <c r="AC41" s="574" t="s">
        <v>28</v>
      </c>
      <c r="AD41" s="549"/>
      <c r="AE41" s="573" t="s">
        <v>324</v>
      </c>
      <c r="AF41" s="492">
        <f>IF($AF$3='Chart Parameters'!$H$19,AF19*conv_mm,AF19)</f>
        <v>0</v>
      </c>
      <c r="AG41" s="575" t="s">
        <v>28</v>
      </c>
      <c r="AH41" s="549"/>
      <c r="AI41" s="573" t="s">
        <v>324</v>
      </c>
      <c r="AJ41" s="492">
        <f>IF($AF$3='Chart Parameters'!$H$19,AJ19*conv_mm,AJ19)</f>
        <v>0</v>
      </c>
      <c r="AK41" s="575" t="s">
        <v>28</v>
      </c>
      <c r="AL41" s="549"/>
      <c r="AM41" s="573" t="s">
        <v>324</v>
      </c>
      <c r="AN41" s="492">
        <f>IF($AF$3='Chart Parameters'!$H$19,AN19*conv_mm,AN19)</f>
        <v>0</v>
      </c>
      <c r="AO41" s="575" t="s">
        <v>28</v>
      </c>
      <c r="AP41" s="549"/>
    </row>
    <row r="42" spans="2:42" ht="8.1" hidden="1" customHeight="1" outlineLevel="1" x14ac:dyDescent="0.2">
      <c r="B42" s="601" t="s">
        <v>322</v>
      </c>
      <c r="C42" s="538" t="s">
        <v>262</v>
      </c>
      <c r="D42" s="556">
        <f ca="1">D41*L12*2+D16</f>
        <v>44.461484988790026</v>
      </c>
      <c r="E42" s="602" t="s">
        <v>28</v>
      </c>
      <c r="G42" s="508"/>
      <c r="U42" s="569"/>
      <c r="V42" s="552"/>
      <c r="W42" s="573" t="s">
        <v>266</v>
      </c>
      <c r="X42" s="493">
        <f ca="1">VLOOKUP(X24,weight_bar_lookup,3,FALSE)</f>
        <v>0.25</v>
      </c>
      <c r="Y42" s="470" t="s">
        <v>263</v>
      </c>
      <c r="Z42" s="548"/>
      <c r="AA42" s="573" t="s">
        <v>266</v>
      </c>
      <c r="AB42" s="493">
        <f ca="1">VLOOKUP(AB24,weight_bar_lookup,3,FALSE)</f>
        <v>0.25</v>
      </c>
      <c r="AC42" s="470" t="s">
        <v>263</v>
      </c>
      <c r="AD42" s="549"/>
      <c r="AE42" s="573" t="s">
        <v>266</v>
      </c>
      <c r="AF42" s="493">
        <f ca="1">VLOOKUP(AF24,weight_bar_lookup,3,FALSE)</f>
        <v>0.25</v>
      </c>
      <c r="AG42" s="447" t="s">
        <v>263</v>
      </c>
      <c r="AH42" s="549"/>
      <c r="AI42" s="573" t="s">
        <v>266</v>
      </c>
      <c r="AJ42" s="493">
        <f ca="1">VLOOKUP(AJ24,weight_bar_lookup,3,FALSE)</f>
        <v>0.25</v>
      </c>
      <c r="AK42" s="447" t="s">
        <v>263</v>
      </c>
      <c r="AL42" s="549"/>
      <c r="AM42" s="573" t="s">
        <v>266</v>
      </c>
      <c r="AN42" s="493">
        <f ca="1">VLOOKUP(AN24,weight_bar_lookup,3,FALSE)</f>
        <v>0.25</v>
      </c>
      <c r="AO42" s="447" t="s">
        <v>263</v>
      </c>
      <c r="AP42" s="549"/>
    </row>
    <row r="43" spans="2:42" hidden="1" outlineLevel="1" x14ac:dyDescent="0.2">
      <c r="G43" s="508"/>
      <c r="L43" s="568"/>
      <c r="M43" s="567"/>
      <c r="N43" s="532"/>
      <c r="O43" s="532"/>
      <c r="P43" s="532"/>
      <c r="Q43" s="569"/>
      <c r="R43" s="569"/>
      <c r="S43" s="569"/>
      <c r="V43" s="552"/>
      <c r="W43" s="573" t="s">
        <v>290</v>
      </c>
      <c r="X43" s="493">
        <f ca="1">VLOOKUP(X25,ballast_lookup,3,FALSE)</f>
        <v>0</v>
      </c>
      <c r="Y43" s="470" t="s">
        <v>263</v>
      </c>
      <c r="Z43" s="548"/>
      <c r="AA43" s="573" t="s">
        <v>290</v>
      </c>
      <c r="AB43" s="493">
        <f ca="1">VLOOKUP(AB25,ballast_lookup,3,FALSE)</f>
        <v>0</v>
      </c>
      <c r="AC43" s="470" t="s">
        <v>263</v>
      </c>
      <c r="AD43" s="549"/>
      <c r="AE43" s="573" t="s">
        <v>290</v>
      </c>
      <c r="AF43" s="493">
        <f ca="1">VLOOKUP(AF25,ballast_lookup,3,FALSE)</f>
        <v>0</v>
      </c>
      <c r="AG43" s="447" t="s">
        <v>263</v>
      </c>
      <c r="AH43" s="549"/>
      <c r="AI43" s="573" t="s">
        <v>290</v>
      </c>
      <c r="AJ43" s="493">
        <f ca="1">VLOOKUP(AJ25,ballast_lookup,3,FALSE)</f>
        <v>0</v>
      </c>
      <c r="AK43" s="447" t="s">
        <v>263</v>
      </c>
      <c r="AL43" s="549"/>
      <c r="AM43" s="573" t="s">
        <v>290</v>
      </c>
      <c r="AN43" s="493">
        <f ca="1">VLOOKUP(AN25,ballast_lookup,3,FALSE)</f>
        <v>0</v>
      </c>
      <c r="AO43" s="447" t="s">
        <v>263</v>
      </c>
      <c r="AP43" s="549"/>
    </row>
    <row r="44" spans="2:42" hidden="1" outlineLevel="1" x14ac:dyDescent="0.2">
      <c r="B44" s="780" t="s">
        <v>325</v>
      </c>
      <c r="C44" s="780"/>
      <c r="D44" s="780"/>
      <c r="E44" s="780"/>
      <c r="K44" s="597"/>
      <c r="L44" s="568"/>
      <c r="M44" s="567"/>
      <c r="N44" s="568"/>
      <c r="O44" s="532"/>
      <c r="P44" s="532"/>
      <c r="Q44" s="569"/>
      <c r="R44" s="569"/>
      <c r="S44" s="569"/>
      <c r="T44" s="569"/>
      <c r="V44" s="552"/>
      <c r="W44" s="552"/>
      <c r="X44" s="508"/>
      <c r="Y44" s="508"/>
      <c r="Z44" s="548"/>
      <c r="AA44" s="552"/>
      <c r="AB44" s="508"/>
      <c r="AC44" s="592"/>
      <c r="AD44" s="549"/>
      <c r="AE44" s="552"/>
      <c r="AF44" s="508"/>
      <c r="AG44" s="508"/>
      <c r="AH44" s="549"/>
      <c r="AI44" s="552"/>
      <c r="AJ44" s="508"/>
      <c r="AK44" s="508"/>
      <c r="AL44" s="549"/>
      <c r="AM44" s="552"/>
      <c r="AN44" s="508"/>
      <c r="AO44" s="508"/>
      <c r="AP44" s="549"/>
    </row>
    <row r="45" spans="2:42" ht="12.75" hidden="1" customHeight="1" outlineLevel="1" x14ac:dyDescent="0.2">
      <c r="B45" s="492" t="s">
        <v>327</v>
      </c>
      <c r="C45" s="492" t="s">
        <v>262</v>
      </c>
      <c r="D45" s="509">
        <f ca="1">IF(ISBLANK(input_tube),0,(VLOOKUP(input_tube,tube_lookup,6,FALSE)))</f>
        <v>3334.44868</v>
      </c>
      <c r="E45" s="492" t="s">
        <v>328</v>
      </c>
      <c r="M45" s="567"/>
      <c r="N45" s="568"/>
      <c r="O45" s="532"/>
      <c r="P45" s="532"/>
      <c r="Q45" s="569"/>
      <c r="R45" s="569"/>
      <c r="S45" s="569"/>
      <c r="T45" s="569"/>
      <c r="V45" s="552"/>
      <c r="W45" s="595" t="s">
        <v>265</v>
      </c>
      <c r="X45" s="493">
        <f ca="1">X42+X43</f>
        <v>0.25</v>
      </c>
      <c r="Y45" s="492" t="s">
        <v>263</v>
      </c>
      <c r="Z45" s="548"/>
      <c r="AA45" s="595" t="s">
        <v>265</v>
      </c>
      <c r="AB45" s="493">
        <f ca="1">AB42+AB43</f>
        <v>0.25</v>
      </c>
      <c r="AC45" s="492" t="s">
        <v>263</v>
      </c>
      <c r="AD45" s="549"/>
      <c r="AE45" s="595" t="s">
        <v>265</v>
      </c>
      <c r="AF45" s="493">
        <f ca="1">AF42+AF43</f>
        <v>0.25</v>
      </c>
      <c r="AG45" s="492" t="s">
        <v>263</v>
      </c>
      <c r="AH45" s="549"/>
      <c r="AI45" s="595" t="s">
        <v>265</v>
      </c>
      <c r="AJ45" s="493">
        <f ca="1">AJ42+AJ43</f>
        <v>0.25</v>
      </c>
      <c r="AK45" s="492" t="s">
        <v>263</v>
      </c>
      <c r="AL45" s="549"/>
      <c r="AM45" s="595" t="s">
        <v>265</v>
      </c>
      <c r="AN45" s="493">
        <f ca="1">AN42+AN43</f>
        <v>0.25</v>
      </c>
      <c r="AO45" s="492" t="s">
        <v>263</v>
      </c>
      <c r="AP45" s="549"/>
    </row>
    <row r="46" spans="2:42" hidden="1" outlineLevel="1" x14ac:dyDescent="0.2">
      <c r="B46" s="492" t="s">
        <v>329</v>
      </c>
      <c r="C46" s="492" t="s">
        <v>262</v>
      </c>
      <c r="D46" s="509">
        <f ca="1">IF(ISBLANK(input_tube),0,VLOOKUP(input_tube,tube_lookup,3,FALSE))</f>
        <v>0.60189999999999999</v>
      </c>
      <c r="E46" s="492" t="s">
        <v>248</v>
      </c>
      <c r="K46" s="597"/>
      <c r="L46" s="568"/>
      <c r="M46" s="567"/>
      <c r="N46" s="568"/>
      <c r="O46" s="532"/>
      <c r="P46" s="532"/>
      <c r="Q46" s="569"/>
      <c r="R46" s="569"/>
      <c r="S46" s="569"/>
      <c r="T46" s="569"/>
      <c r="V46" s="552"/>
      <c r="W46" s="595" t="s">
        <v>267</v>
      </c>
      <c r="X46" s="496">
        <f ca="1">X38/1000</f>
        <v>0.67133379931199999</v>
      </c>
      <c r="Y46" s="492" t="s">
        <v>268</v>
      </c>
      <c r="Z46" s="548"/>
      <c r="AA46" s="595" t="s">
        <v>267</v>
      </c>
      <c r="AB46" s="496">
        <f ca="1">AB38/1000</f>
        <v>0.67133379931199999</v>
      </c>
      <c r="AC46" s="492" t="s">
        <v>268</v>
      </c>
      <c r="AD46" s="549"/>
      <c r="AE46" s="595" t="s">
        <v>267</v>
      </c>
      <c r="AF46" s="496">
        <f ca="1">AF38/1000</f>
        <v>0.67133379931199999</v>
      </c>
      <c r="AG46" s="492" t="s">
        <v>268</v>
      </c>
      <c r="AH46" s="549"/>
      <c r="AI46" s="595" t="s">
        <v>267</v>
      </c>
      <c r="AJ46" s="496">
        <f ca="1">AJ38/1000</f>
        <v>0.67133379931199999</v>
      </c>
      <c r="AK46" s="492" t="s">
        <v>268</v>
      </c>
      <c r="AL46" s="549"/>
      <c r="AM46" s="595" t="s">
        <v>267</v>
      </c>
      <c r="AN46" s="496">
        <f ca="1">AN38/1000</f>
        <v>0.67133379931199999</v>
      </c>
      <c r="AO46" s="492" t="s">
        <v>268</v>
      </c>
      <c r="AP46" s="549"/>
    </row>
    <row r="47" spans="2:42" hidden="1" outlineLevel="1" x14ac:dyDescent="0.2">
      <c r="B47" s="492" t="s">
        <v>330</v>
      </c>
      <c r="C47" s="492" t="s">
        <v>262</v>
      </c>
      <c r="D47" s="492"/>
      <c r="E47" s="492" t="s">
        <v>28</v>
      </c>
      <c r="K47" s="597"/>
      <c r="L47" s="568"/>
      <c r="M47" s="567"/>
      <c r="N47" s="568"/>
      <c r="O47" s="532"/>
      <c r="P47" s="532"/>
      <c r="Q47" s="569"/>
      <c r="R47" s="569"/>
      <c r="S47" s="569"/>
      <c r="T47" s="569"/>
      <c r="V47" s="552"/>
      <c r="W47" s="595" t="s">
        <v>270</v>
      </c>
      <c r="X47" s="493">
        <f ca="1">IF(X26=pwa_yes,X56*0.1^3,0)</f>
        <v>0</v>
      </c>
      <c r="Y47" s="492" t="s">
        <v>245</v>
      </c>
      <c r="Z47" s="548"/>
      <c r="AA47" s="595" t="s">
        <v>270</v>
      </c>
      <c r="AB47" s="493">
        <f ca="1">IF(AB26=pwa_yes,AB56*0.1^3,0)</f>
        <v>0</v>
      </c>
      <c r="AC47" s="492" t="s">
        <v>245</v>
      </c>
      <c r="AD47" s="549"/>
      <c r="AE47" s="595" t="s">
        <v>270</v>
      </c>
      <c r="AF47" s="493">
        <f ca="1">IF(AF26=pwa_yes,AF56*0.1^3,0)</f>
        <v>0</v>
      </c>
      <c r="AG47" s="492" t="s">
        <v>245</v>
      </c>
      <c r="AH47" s="549"/>
      <c r="AI47" s="595" t="s">
        <v>270</v>
      </c>
      <c r="AJ47" s="493">
        <f ca="1">IF(AJ26=pwa_yes,AJ56*0.1^3,0)</f>
        <v>0</v>
      </c>
      <c r="AK47" s="492" t="s">
        <v>245</v>
      </c>
      <c r="AL47" s="549"/>
      <c r="AM47" s="595" t="s">
        <v>270</v>
      </c>
      <c r="AN47" s="493">
        <f ca="1">IF(AN26=pwa_yes,AN56*0.1^3,0)</f>
        <v>0</v>
      </c>
      <c r="AO47" s="492" t="s">
        <v>245</v>
      </c>
      <c r="AP47" s="549"/>
    </row>
    <row r="48" spans="2:42" hidden="1" outlineLevel="1" x14ac:dyDescent="0.2">
      <c r="B48" s="508"/>
      <c r="C48" s="508"/>
      <c r="D48" s="508"/>
      <c r="E48" s="508"/>
      <c r="K48" s="597"/>
      <c r="L48" s="568"/>
      <c r="M48" s="567"/>
      <c r="N48" s="568"/>
      <c r="O48" s="532"/>
      <c r="P48" s="532"/>
      <c r="Q48" s="569"/>
      <c r="R48" s="569"/>
      <c r="S48" s="569"/>
      <c r="T48" s="569"/>
      <c r="V48" s="552"/>
      <c r="W48" s="595" t="s">
        <v>605</v>
      </c>
      <c r="X48" s="509">
        <f ca="1">IF(X40=0,0,(((X40/1000))*(X41/1000)*X46)+(((X41/1000)*X45)))</f>
        <v>2.4599650270278239</v>
      </c>
      <c r="Y48" s="492" t="s">
        <v>248</v>
      </c>
      <c r="Z48" s="548"/>
      <c r="AA48" s="595" t="s">
        <v>605</v>
      </c>
      <c r="AB48" s="509">
        <f ca="1">IF(AB40=0,0,(((AB40/1000))*(AB41/1000)*AB46)+(((AB41/1000)*AB45)))</f>
        <v>2.4599650270278239</v>
      </c>
      <c r="AC48" s="492" t="s">
        <v>248</v>
      </c>
      <c r="AD48" s="549"/>
      <c r="AE48" s="595" t="s">
        <v>605</v>
      </c>
      <c r="AF48" s="509">
        <f ca="1">IF(AF40=0,0,(((AF40/1000))*(AF41/1000)*AF46)+(((AF41/1000)*AF45)))</f>
        <v>0</v>
      </c>
      <c r="AG48" s="492" t="s">
        <v>248</v>
      </c>
      <c r="AH48" s="549"/>
      <c r="AI48" s="595" t="s">
        <v>605</v>
      </c>
      <c r="AJ48" s="509">
        <f ca="1">IF(AJ40=0,0,(((AJ40/1000))*(AJ41/1000)*AJ46)+(((AJ41/1000)*AJ45)))</f>
        <v>0</v>
      </c>
      <c r="AK48" s="492" t="s">
        <v>248</v>
      </c>
      <c r="AL48" s="549"/>
      <c r="AM48" s="595" t="s">
        <v>605</v>
      </c>
      <c r="AN48" s="509">
        <f ca="1">IF(AN40=0,0,(((AN40/1000))*(AN41/1000)*AN46)+(((AN41/1000)*AN45)))</f>
        <v>0</v>
      </c>
      <c r="AO48" s="492" t="s">
        <v>248</v>
      </c>
      <c r="AP48" s="549"/>
    </row>
    <row r="49" spans="2:42" hidden="1" outlineLevel="1" x14ac:dyDescent="0.2">
      <c r="M49" s="612" t="s">
        <v>0</v>
      </c>
      <c r="N49" s="612"/>
      <c r="O49" s="612"/>
      <c r="P49" s="612"/>
      <c r="Q49" s="612"/>
      <c r="R49" s="612"/>
      <c r="S49" s="569"/>
      <c r="T49" s="569"/>
      <c r="V49" s="552"/>
      <c r="W49" s="595"/>
      <c r="X49" s="509">
        <f ca="1">X48*9.81</f>
        <v>24.132256915142953</v>
      </c>
      <c r="Y49" s="492" t="s">
        <v>251</v>
      </c>
      <c r="Z49" s="548"/>
      <c r="AA49" s="595"/>
      <c r="AB49" s="509">
        <f ca="1">AB48*9.81</f>
        <v>24.132256915142953</v>
      </c>
      <c r="AC49" s="492" t="s">
        <v>251</v>
      </c>
      <c r="AD49" s="549"/>
      <c r="AE49" s="595"/>
      <c r="AF49" s="509">
        <f ca="1">AF48*9.81</f>
        <v>0</v>
      </c>
      <c r="AG49" s="492" t="s">
        <v>251</v>
      </c>
      <c r="AH49" s="549"/>
      <c r="AI49" s="595"/>
      <c r="AJ49" s="509">
        <f ca="1">AJ48*9.81</f>
        <v>0</v>
      </c>
      <c r="AK49" s="492" t="s">
        <v>251</v>
      </c>
      <c r="AL49" s="549"/>
      <c r="AM49" s="595"/>
      <c r="AN49" s="509">
        <f ca="1">AN48*9.81</f>
        <v>0</v>
      </c>
      <c r="AO49" s="492" t="s">
        <v>251</v>
      </c>
      <c r="AP49" s="549"/>
    </row>
    <row r="50" spans="2:42" ht="15" hidden="1" customHeight="1" outlineLevel="1" x14ac:dyDescent="0.25">
      <c r="F50" s="475" t="s">
        <v>331</v>
      </c>
      <c r="M50" s="119" t="s">
        <v>345</v>
      </c>
      <c r="N50" s="612"/>
      <c r="O50" s="612"/>
      <c r="P50" s="612"/>
      <c r="Q50" s="612"/>
      <c r="R50" s="612"/>
      <c r="S50" s="569"/>
      <c r="T50" s="569"/>
      <c r="V50" s="552"/>
      <c r="W50" s="595" t="s">
        <v>614</v>
      </c>
      <c r="X50" s="509">
        <f ca="1">X49*X58*0.5</f>
        <v>0.46587321974683477</v>
      </c>
      <c r="Y50" s="492" t="s">
        <v>220</v>
      </c>
      <c r="Z50" s="548"/>
      <c r="AA50" s="595" t="s">
        <v>614</v>
      </c>
      <c r="AB50" s="509">
        <f ca="1">AB49*AB58*0.5</f>
        <v>0.46587321974683477</v>
      </c>
      <c r="AC50" s="492" t="s">
        <v>220</v>
      </c>
      <c r="AD50" s="549"/>
      <c r="AE50" s="595" t="s">
        <v>614</v>
      </c>
      <c r="AF50" s="509">
        <f ca="1">AF49*AF58*0.5</f>
        <v>0</v>
      </c>
      <c r="AG50" s="492" t="s">
        <v>220</v>
      </c>
      <c r="AH50" s="549"/>
      <c r="AI50" s="595" t="s">
        <v>614</v>
      </c>
      <c r="AJ50" s="509">
        <f ca="1">AJ49*AJ58*0.5</f>
        <v>0</v>
      </c>
      <c r="AK50" s="492" t="s">
        <v>220</v>
      </c>
      <c r="AL50" s="549"/>
      <c r="AM50" s="595" t="s">
        <v>614</v>
      </c>
      <c r="AN50" s="509">
        <f ca="1">AN49*AN58*0.5</f>
        <v>0</v>
      </c>
      <c r="AO50" s="492" t="s">
        <v>220</v>
      </c>
      <c r="AP50" s="549"/>
    </row>
    <row r="51" spans="2:42" hidden="1" outlineLevel="1" x14ac:dyDescent="0.2">
      <c r="B51" s="492" t="s">
        <v>332</v>
      </c>
      <c r="C51" s="492" t="s">
        <v>262</v>
      </c>
      <c r="D51" s="492">
        <f>0.4535924/0.9144</f>
        <v>0.49605468066491692</v>
      </c>
      <c r="E51" s="492" t="s">
        <v>263</v>
      </c>
      <c r="F51" s="492">
        <f>IF($AF$3='Chart Parameters'!$H$19,D51,1)</f>
        <v>0.49605468066491692</v>
      </c>
      <c r="S51" s="569"/>
      <c r="T51" s="569"/>
      <c r="V51" s="552"/>
      <c r="W51" s="663" t="s">
        <v>825</v>
      </c>
      <c r="X51" s="555">
        <f ca="1">AB51*(1+Friction_Loss)+X50</f>
        <v>0.97833376146835316</v>
      </c>
      <c r="Y51" s="538" t="s">
        <v>220</v>
      </c>
      <c r="Z51" s="548"/>
      <c r="AA51" s="601" t="s">
        <v>825</v>
      </c>
      <c r="AB51" s="555">
        <f ca="1">AF51*(1+Friction_Loss)+AB50</f>
        <v>0.46587321974683477</v>
      </c>
      <c r="AC51" s="538" t="s">
        <v>220</v>
      </c>
      <c r="AD51" s="549"/>
      <c r="AE51" s="601" t="s">
        <v>825</v>
      </c>
      <c r="AF51" s="555">
        <f ca="1">AJ51*(1+Friction_Loss)+AF50</f>
        <v>0</v>
      </c>
      <c r="AG51" s="538" t="s">
        <v>220</v>
      </c>
      <c r="AH51" s="549"/>
      <c r="AI51" s="601" t="s">
        <v>825</v>
      </c>
      <c r="AJ51" s="555">
        <f ca="1">AN51*(1+Friction_Loss)+AJ50</f>
        <v>0</v>
      </c>
      <c r="AK51" s="538" t="s">
        <v>220</v>
      </c>
      <c r="AL51" s="549"/>
      <c r="AM51" s="601" t="s">
        <v>825</v>
      </c>
      <c r="AN51" s="555">
        <f ca="1">AT39*(1+Friction_Loss)+AN50</f>
        <v>0</v>
      </c>
      <c r="AO51" s="538" t="s">
        <v>220</v>
      </c>
      <c r="AP51" s="549"/>
    </row>
    <row r="52" spans="2:42" hidden="1" outlineLevel="1" x14ac:dyDescent="0.2">
      <c r="B52" s="492" t="s">
        <v>333</v>
      </c>
      <c r="C52" s="492" t="s">
        <v>262</v>
      </c>
      <c r="D52" s="492">
        <v>25.4</v>
      </c>
      <c r="E52" s="492" t="s">
        <v>28</v>
      </c>
      <c r="F52" s="492">
        <f>IF($AF$3='Chart Parameters'!$H$19,D52,1)</f>
        <v>25.4</v>
      </c>
      <c r="T52" s="569"/>
      <c r="V52" s="552"/>
      <c r="W52" s="552" t="s">
        <v>280</v>
      </c>
      <c r="X52" s="508">
        <f ca="1">VLOOKUP(X27,tube_lookup,2,FALSE)</f>
        <v>38.61</v>
      </c>
      <c r="Y52" s="508" t="s">
        <v>28</v>
      </c>
      <c r="Z52" s="548"/>
      <c r="AA52" s="553" t="s">
        <v>280</v>
      </c>
      <c r="AB52" s="512">
        <f ca="1">VLOOKUP(AB27,tube_lookup,2,FALSE)</f>
        <v>38.61</v>
      </c>
      <c r="AC52" s="512" t="s">
        <v>28</v>
      </c>
      <c r="AD52" s="549"/>
      <c r="AE52" s="553" t="s">
        <v>280</v>
      </c>
      <c r="AF52" s="512">
        <f ca="1">VLOOKUP(AF27,tube_lookup,2,FALSE)</f>
        <v>38.61</v>
      </c>
      <c r="AG52" s="512" t="s">
        <v>28</v>
      </c>
      <c r="AH52" s="549"/>
      <c r="AI52" s="553" t="s">
        <v>280</v>
      </c>
      <c r="AJ52" s="512">
        <f ca="1">VLOOKUP(AJ27,tube_lookup,2,FALSE)</f>
        <v>38.61</v>
      </c>
      <c r="AK52" s="512" t="s">
        <v>28</v>
      </c>
      <c r="AL52" s="549"/>
      <c r="AM52" s="553" t="s">
        <v>280</v>
      </c>
      <c r="AN52" s="512">
        <f ca="1">VLOOKUP(AN27,tube_lookup,2,FALSE)</f>
        <v>38.61</v>
      </c>
      <c r="AO52" s="512" t="s">
        <v>28</v>
      </c>
      <c r="AP52" s="549"/>
    </row>
    <row r="53" spans="2:42" hidden="1" outlineLevel="1" x14ac:dyDescent="0.2">
      <c r="B53" s="492" t="s">
        <v>334</v>
      </c>
      <c r="C53" s="492" t="s">
        <v>262</v>
      </c>
      <c r="D53" s="492">
        <f>0.4535924</f>
        <v>0.45359240000000001</v>
      </c>
      <c r="E53" s="492" t="s">
        <v>248</v>
      </c>
      <c r="F53" s="492">
        <f>IF($AF$3='Chart Parameters'!$H$19,D53,1)</f>
        <v>0.45359240000000001</v>
      </c>
      <c r="T53" s="569"/>
      <c r="V53" s="552"/>
      <c r="W53" s="603"/>
      <c r="X53" s="515">
        <f ca="1">X52*0.1^3</f>
        <v>3.8610000000000005E-2</v>
      </c>
      <c r="Y53" s="508" t="s">
        <v>245</v>
      </c>
      <c r="Z53" s="548"/>
      <c r="AA53" s="604"/>
      <c r="AB53" s="605">
        <f ca="1">AB52*0.1^3</f>
        <v>3.8610000000000005E-2</v>
      </c>
      <c r="AC53" s="512" t="s">
        <v>245</v>
      </c>
      <c r="AD53" s="549"/>
      <c r="AE53" s="604"/>
      <c r="AF53" s="605">
        <f ca="1">AF52*0.1^3</f>
        <v>3.8610000000000005E-2</v>
      </c>
      <c r="AG53" s="512" t="s">
        <v>245</v>
      </c>
      <c r="AH53" s="549"/>
      <c r="AI53" s="604"/>
      <c r="AJ53" s="605">
        <f ca="1">AJ52*0.1^3</f>
        <v>3.8610000000000005E-2</v>
      </c>
      <c r="AK53" s="512" t="s">
        <v>245</v>
      </c>
      <c r="AL53" s="549"/>
      <c r="AM53" s="604"/>
      <c r="AN53" s="605">
        <f ca="1">AN52*0.1^3</f>
        <v>3.8610000000000005E-2</v>
      </c>
      <c r="AO53" s="512" t="s">
        <v>245</v>
      </c>
      <c r="AP53" s="549"/>
    </row>
    <row r="54" spans="2:42" hidden="1" outlineLevel="1" x14ac:dyDescent="0.2">
      <c r="B54" s="492" t="s">
        <v>335</v>
      </c>
      <c r="C54" s="492" t="s">
        <v>262</v>
      </c>
      <c r="D54" s="492">
        <f>28.34952/0.8361274</f>
        <v>33.905742115376199</v>
      </c>
      <c r="E54" s="492" t="s">
        <v>235</v>
      </c>
      <c r="F54" s="492">
        <f>IF($AF$3='Chart Parameters'!$H$19,D54,1)</f>
        <v>33.905742115376199</v>
      </c>
      <c r="N54" s="568"/>
      <c r="O54" s="532"/>
      <c r="P54" s="532"/>
      <c r="Q54" s="569"/>
      <c r="R54" s="569"/>
      <c r="S54" s="569"/>
      <c r="T54" s="569"/>
      <c r="V54" s="552"/>
      <c r="W54" s="603"/>
      <c r="X54" s="515"/>
      <c r="Y54" s="508"/>
      <c r="Z54" s="548"/>
      <c r="AA54" s="604"/>
      <c r="AB54" s="605"/>
      <c r="AC54" s="512"/>
      <c r="AD54" s="549"/>
      <c r="AE54" s="604"/>
      <c r="AF54" s="605"/>
      <c r="AG54" s="512"/>
      <c r="AH54" s="549"/>
      <c r="AI54" s="604"/>
      <c r="AJ54" s="605"/>
      <c r="AK54" s="512"/>
      <c r="AL54" s="549"/>
      <c r="AM54" s="604"/>
      <c r="AN54" s="605"/>
      <c r="AO54" s="512"/>
      <c r="AP54" s="549"/>
    </row>
    <row r="55" spans="2:42" ht="12.75" hidden="1" customHeight="1" outlineLevel="1" x14ac:dyDescent="0.25">
      <c r="B55" s="492" t="s">
        <v>620</v>
      </c>
      <c r="C55" s="492" t="s">
        <v>262</v>
      </c>
      <c r="D55" s="492">
        <v>0.1129848</v>
      </c>
      <c r="E55" s="492" t="s">
        <v>220</v>
      </c>
      <c r="F55" s="492">
        <f>IF($AF$3='Chart Parameters'!$H$19,D55,1)</f>
        <v>0.1129848</v>
      </c>
      <c r="N55" s="568"/>
      <c r="O55" s="532"/>
      <c r="P55" s="532"/>
      <c r="Q55" s="569"/>
      <c r="R55" s="569"/>
      <c r="S55" s="569"/>
      <c r="T55" s="562"/>
      <c r="V55" s="552"/>
      <c r="W55" s="606" t="s">
        <v>615</v>
      </c>
      <c r="X55" s="29">
        <f ca="1">IF(X26=pwa_yes,2,0)</f>
        <v>0</v>
      </c>
      <c r="Y55" s="29" t="s">
        <v>616</v>
      </c>
      <c r="Z55" s="548"/>
      <c r="AA55" s="607" t="s">
        <v>615</v>
      </c>
      <c r="AB55" s="29">
        <f ca="1">IF(AB26=pwa_yes,2,0)</f>
        <v>0</v>
      </c>
      <c r="AC55" s="608" t="s">
        <v>616</v>
      </c>
      <c r="AD55" s="549"/>
      <c r="AE55" s="607" t="s">
        <v>615</v>
      </c>
      <c r="AF55" s="29">
        <f ca="1">IF(AF26=pwa_yes,2,0)</f>
        <v>0</v>
      </c>
      <c r="AG55" s="608" t="s">
        <v>616</v>
      </c>
      <c r="AH55" s="549"/>
      <c r="AI55" s="607" t="s">
        <v>615</v>
      </c>
      <c r="AJ55" s="29">
        <f ca="1">IF(AJ26=pwa_yes,2,0)</f>
        <v>0</v>
      </c>
      <c r="AK55" s="608" t="s">
        <v>616</v>
      </c>
      <c r="AL55" s="549"/>
      <c r="AM55" s="607" t="s">
        <v>615</v>
      </c>
      <c r="AN55" s="29">
        <f ca="1">IF(AN26=pwa_yes,2,0)</f>
        <v>0</v>
      </c>
      <c r="AO55" s="608" t="s">
        <v>616</v>
      </c>
      <c r="AP55" s="549"/>
    </row>
    <row r="56" spans="2:42" ht="15" hidden="1" outlineLevel="1" x14ac:dyDescent="0.25">
      <c r="B56" s="616"/>
      <c r="C56" s="563"/>
      <c r="D56" s="563"/>
      <c r="E56" s="523"/>
      <c r="F56" s="492">
        <f>IF($AF$3='Chart Parameters'!$H$19,D56,1)</f>
        <v>0</v>
      </c>
      <c r="N56" s="568"/>
      <c r="O56" s="532"/>
      <c r="P56" s="532"/>
      <c r="Q56" s="569"/>
      <c r="R56" s="569"/>
      <c r="S56" s="569"/>
      <c r="T56" s="562"/>
      <c r="V56" s="552"/>
      <c r="W56" s="606" t="s">
        <v>617</v>
      </c>
      <c r="X56" s="609">
        <f ca="1">PI()*X52*X55</f>
        <v>0</v>
      </c>
      <c r="Y56" s="29" t="s">
        <v>28</v>
      </c>
      <c r="Z56" s="548"/>
      <c r="AA56" s="607" t="s">
        <v>617</v>
      </c>
      <c r="AB56" s="610">
        <f ca="1">PI()*AB52*AB55</f>
        <v>0</v>
      </c>
      <c r="AC56" s="608" t="s">
        <v>28</v>
      </c>
      <c r="AD56" s="549"/>
      <c r="AE56" s="607" t="s">
        <v>617</v>
      </c>
      <c r="AF56" s="610">
        <f ca="1">PI()*AF52*AF55</f>
        <v>0</v>
      </c>
      <c r="AG56" s="608" t="s">
        <v>28</v>
      </c>
      <c r="AH56" s="549"/>
      <c r="AI56" s="607" t="s">
        <v>617</v>
      </c>
      <c r="AJ56" s="610">
        <f ca="1">PI()*AJ52*AJ55</f>
        <v>0</v>
      </c>
      <c r="AK56" s="608" t="s">
        <v>28</v>
      </c>
      <c r="AL56" s="549"/>
      <c r="AM56" s="607" t="s">
        <v>617</v>
      </c>
      <c r="AN56" s="610">
        <f ca="1">PI()*AN52*AN55</f>
        <v>0</v>
      </c>
      <c r="AO56" s="608" t="s">
        <v>28</v>
      </c>
      <c r="AP56" s="549"/>
    </row>
    <row r="57" spans="2:42" ht="15" hidden="1" outlineLevel="1" x14ac:dyDescent="0.25">
      <c r="B57" s="616"/>
      <c r="C57" s="563"/>
      <c r="D57" s="563"/>
      <c r="E57" s="523"/>
      <c r="F57" s="492">
        <f>IF($AF$3='Chart Parameters'!$H$19,D57,1)</f>
        <v>0</v>
      </c>
      <c r="Q57" s="503"/>
      <c r="R57" s="562"/>
      <c r="S57" s="562"/>
      <c r="T57" s="562"/>
      <c r="V57" s="552"/>
      <c r="W57" s="606" t="s">
        <v>618</v>
      </c>
      <c r="X57" s="694">
        <f ca="1">X52+X39*X55*2</f>
        <v>38.61</v>
      </c>
      <c r="Y57" s="29" t="s">
        <v>28</v>
      </c>
      <c r="Z57" s="548"/>
      <c r="AA57" s="607" t="s">
        <v>618</v>
      </c>
      <c r="AB57" s="611">
        <f ca="1">AB52+AB39*AB55*2</f>
        <v>38.61</v>
      </c>
      <c r="AC57" s="608" t="s">
        <v>28</v>
      </c>
      <c r="AD57" s="549"/>
      <c r="AE57" s="607" t="s">
        <v>618</v>
      </c>
      <c r="AF57" s="611">
        <f ca="1">AF52+AF39*AF55*2</f>
        <v>38.61</v>
      </c>
      <c r="AG57" s="608" t="s">
        <v>28</v>
      </c>
      <c r="AH57" s="549"/>
      <c r="AI57" s="607" t="s">
        <v>618</v>
      </c>
      <c r="AJ57" s="611">
        <f ca="1">AJ52+AJ39*AJ55*2</f>
        <v>38.61</v>
      </c>
      <c r="AK57" s="608" t="s">
        <v>28</v>
      </c>
      <c r="AL57" s="549"/>
      <c r="AM57" s="607" t="s">
        <v>618</v>
      </c>
      <c r="AN57" s="611">
        <f ca="1">AN52+AN39*AN55*2</f>
        <v>38.61</v>
      </c>
      <c r="AO57" s="608" t="s">
        <v>28</v>
      </c>
      <c r="AP57" s="549"/>
    </row>
    <row r="58" spans="2:42" ht="15" hidden="1" outlineLevel="1" x14ac:dyDescent="0.25">
      <c r="B58" s="616"/>
      <c r="C58" s="563"/>
      <c r="D58" s="563"/>
      <c r="E58" s="523"/>
      <c r="F58" s="492">
        <f>IF($AF$3='Chart Parameters'!$H$19,D58,1)</f>
        <v>0</v>
      </c>
      <c r="Q58" s="503"/>
      <c r="R58" s="562"/>
      <c r="S58" s="562"/>
      <c r="T58" s="562"/>
      <c r="V58" s="552"/>
      <c r="W58" s="606"/>
      <c r="X58" s="693">
        <f ca="1">X57*0.1^3</f>
        <v>3.8610000000000005E-2</v>
      </c>
      <c r="Y58" s="17" t="s">
        <v>245</v>
      </c>
      <c r="Z58" s="548"/>
      <c r="AA58" s="607"/>
      <c r="AB58" s="17">
        <f ca="1">AB57*0.1^3</f>
        <v>3.8610000000000005E-2</v>
      </c>
      <c r="AC58" s="17" t="s">
        <v>245</v>
      </c>
      <c r="AD58" s="549"/>
      <c r="AE58" s="607"/>
      <c r="AF58" s="17">
        <f ca="1">AF57*0.1^3</f>
        <v>3.8610000000000005E-2</v>
      </c>
      <c r="AG58" s="17" t="s">
        <v>245</v>
      </c>
      <c r="AH58" s="549"/>
      <c r="AI58" s="607"/>
      <c r="AJ58" s="17">
        <f ca="1">AJ57*0.1^3</f>
        <v>3.8610000000000005E-2</v>
      </c>
      <c r="AK58" s="17" t="s">
        <v>245</v>
      </c>
      <c r="AL58" s="549"/>
      <c r="AM58" s="607"/>
      <c r="AN58" s="17">
        <f ca="1">AN57*0.1^3</f>
        <v>3.8610000000000005E-2</v>
      </c>
      <c r="AO58" s="17" t="s">
        <v>245</v>
      </c>
      <c r="AP58" s="549"/>
    </row>
    <row r="59" spans="2:42" ht="15" hidden="1" outlineLevel="1" x14ac:dyDescent="0.25">
      <c r="B59" s="781" t="s">
        <v>336</v>
      </c>
      <c r="C59" s="782"/>
      <c r="D59" s="782"/>
      <c r="E59" s="783"/>
      <c r="F59" s="528" t="s">
        <v>362</v>
      </c>
      <c r="Q59" s="503"/>
      <c r="R59" s="562"/>
      <c r="S59" s="562"/>
      <c r="T59" s="562"/>
      <c r="V59" s="552"/>
      <c r="W59" s="606" t="s">
        <v>619</v>
      </c>
      <c r="X59" s="613">
        <f ca="1">(-(X57-X39)+SQRT((X57-X39)^2-4*X39*(-X40/PI())))/(2*X39)</f>
        <v>13.998920419580417</v>
      </c>
      <c r="Y59" s="508"/>
      <c r="Z59" s="548"/>
      <c r="AA59" s="607" t="s">
        <v>619</v>
      </c>
      <c r="AB59" s="614">
        <f ca="1">(-(AB57-AB39)+SQRT((AB57-AB39)^2-4*AB39*(-AB40/PI())))/(2*AB39)</f>
        <v>13.998920419580417</v>
      </c>
      <c r="AC59" s="512"/>
      <c r="AD59" s="549"/>
      <c r="AE59" s="607" t="s">
        <v>619</v>
      </c>
      <c r="AF59" s="614">
        <f ca="1">(-(AF57-AF39)+SQRT((AF57-AF39)^2-4*AF39*(-AF40/PI())))/(2*AF39)</f>
        <v>13.998920419580417</v>
      </c>
      <c r="AG59" s="512"/>
      <c r="AH59" s="549"/>
      <c r="AI59" s="607" t="s">
        <v>619</v>
      </c>
      <c r="AJ59" s="614">
        <f ca="1">(-(AJ57-AJ39)+SQRT((AJ57-AJ39)^2-4*AJ39*(-AJ40/PI())))/(2*AJ39)</f>
        <v>13.998920419580417</v>
      </c>
      <c r="AK59" s="512"/>
      <c r="AL59" s="549"/>
      <c r="AM59" s="607" t="s">
        <v>619</v>
      </c>
      <c r="AN59" s="614">
        <f ca="1">(-(AN57-AN39)+SQRT((AN57-AN39)^2-4*AN39*(-AN40/PI())))/(2*AN39)</f>
        <v>13.998920419580417</v>
      </c>
      <c r="AO59" s="512"/>
      <c r="AP59" s="549"/>
    </row>
    <row r="60" spans="2:42" hidden="1" outlineLevel="1" x14ac:dyDescent="0.2">
      <c r="B60" s="492" t="s">
        <v>337</v>
      </c>
      <c r="C60" s="492" t="s">
        <v>262</v>
      </c>
      <c r="D60" s="492">
        <v>4.13</v>
      </c>
      <c r="E60" s="492" t="s">
        <v>248</v>
      </c>
      <c r="F60" s="528" t="s">
        <v>362</v>
      </c>
      <c r="Q60" s="503"/>
      <c r="R60" s="562"/>
      <c r="S60" s="562"/>
      <c r="T60" s="562"/>
      <c r="V60" s="552"/>
      <c r="W60" s="603"/>
      <c r="X60" s="515"/>
      <c r="Y60" s="508"/>
      <c r="Z60" s="548"/>
      <c r="AA60" s="604"/>
      <c r="AB60" s="605"/>
      <c r="AC60" s="512"/>
      <c r="AD60" s="549"/>
      <c r="AE60" s="604"/>
      <c r="AF60" s="605"/>
      <c r="AG60" s="512"/>
      <c r="AH60" s="549"/>
      <c r="AI60" s="604"/>
      <c r="AJ60" s="605"/>
      <c r="AK60" s="512"/>
      <c r="AL60" s="549"/>
      <c r="AM60" s="604"/>
      <c r="AN60" s="605"/>
      <c r="AO60" s="512"/>
      <c r="AP60" s="549"/>
    </row>
    <row r="61" spans="2:42" ht="15" hidden="1" customHeight="1" outlineLevel="1" x14ac:dyDescent="0.2">
      <c r="B61" s="492" t="s">
        <v>338</v>
      </c>
      <c r="C61" s="492" t="s">
        <v>262</v>
      </c>
      <c r="D61" s="492" t="e">
        <f>ESULimiter_Max</f>
        <v>#NAME?</v>
      </c>
      <c r="E61" s="492" t="s">
        <v>220</v>
      </c>
      <c r="F61" s="528" t="s">
        <v>362</v>
      </c>
      <c r="Q61" s="503"/>
      <c r="R61" s="562"/>
      <c r="S61" s="562"/>
      <c r="T61" s="562"/>
      <c r="V61" s="552"/>
      <c r="W61" s="552" t="s">
        <v>611</v>
      </c>
      <c r="X61" s="605">
        <f ca="1">IF(OR(X19=0,X20=0),0,X57+X59*fabric_thickness*2)</f>
        <v>54.966338510285922</v>
      </c>
      <c r="Y61" s="508" t="s">
        <v>28</v>
      </c>
      <c r="Z61" s="548"/>
      <c r="AA61" s="553" t="s">
        <v>611</v>
      </c>
      <c r="AB61" s="605">
        <f ca="1">IF(OR(AB19=0,AB20=0),0,AB57+AB59*fabric_thickness*2)</f>
        <v>54.966338510285922</v>
      </c>
      <c r="AC61" s="512" t="s">
        <v>28</v>
      </c>
      <c r="AD61" s="549"/>
      <c r="AE61" s="553" t="s">
        <v>611</v>
      </c>
      <c r="AF61" s="605">
        <f>IF(OR(AF19=0,AF20=0),0,AF57+AF59*fabric_thickness*2)</f>
        <v>0</v>
      </c>
      <c r="AG61" s="512" t="s">
        <v>28</v>
      </c>
      <c r="AH61" s="549"/>
      <c r="AI61" s="553" t="s">
        <v>611</v>
      </c>
      <c r="AJ61" s="605">
        <f>IF(OR(AJ19=0,AJ20=0),0,AJ57+AJ59*fabric_thickness*2)</f>
        <v>0</v>
      </c>
      <c r="AK61" s="512" t="s">
        <v>28</v>
      </c>
      <c r="AL61" s="549"/>
      <c r="AM61" s="553" t="s">
        <v>611</v>
      </c>
      <c r="AN61" s="605">
        <f>IF(OR(AN19=0,AN20=0),0,AN57+AN59*fabric_thickness*2)</f>
        <v>0</v>
      </c>
      <c r="AO61" s="512" t="s">
        <v>28</v>
      </c>
      <c r="AP61" s="549"/>
    </row>
    <row r="62" spans="2:42" ht="21.4" hidden="1" customHeight="1" outlineLevel="1" x14ac:dyDescent="0.2">
      <c r="B62" s="492" t="s">
        <v>339</v>
      </c>
      <c r="C62" s="492" t="s">
        <v>262</v>
      </c>
      <c r="D62" s="492">
        <v>0.75</v>
      </c>
      <c r="E62" s="492" t="s">
        <v>220</v>
      </c>
      <c r="F62" s="528" t="s">
        <v>362</v>
      </c>
      <c r="Q62" s="503"/>
      <c r="R62" s="562"/>
      <c r="S62" s="562"/>
      <c r="T62" s="562"/>
      <c r="V62" s="552"/>
      <c r="W62" s="603"/>
      <c r="X62" s="515"/>
      <c r="Y62" s="508"/>
      <c r="Z62" s="548"/>
      <c r="AA62" s="604"/>
      <c r="AB62" s="605"/>
      <c r="AC62" s="512"/>
      <c r="AD62" s="549"/>
      <c r="AE62" s="604"/>
      <c r="AF62" s="605"/>
      <c r="AG62" s="512"/>
      <c r="AH62" s="549"/>
      <c r="AI62" s="604"/>
      <c r="AJ62" s="605"/>
      <c r="AK62" s="512"/>
      <c r="AL62" s="549"/>
      <c r="AM62" s="604"/>
      <c r="AN62" s="605"/>
      <c r="AO62" s="512"/>
      <c r="AP62" s="549"/>
    </row>
    <row r="63" spans="2:42" ht="15" hidden="1" customHeight="1" outlineLevel="1" x14ac:dyDescent="0.2">
      <c r="B63" s="492" t="s">
        <v>340</v>
      </c>
      <c r="C63" s="492" t="s">
        <v>262</v>
      </c>
      <c r="D63" s="492">
        <v>3000</v>
      </c>
      <c r="E63" s="492" t="s">
        <v>28</v>
      </c>
      <c r="F63" s="528" t="s">
        <v>362</v>
      </c>
      <c r="Q63" s="503"/>
      <c r="R63" s="562"/>
      <c r="S63" s="562"/>
      <c r="T63" s="562"/>
      <c r="V63" s="552"/>
      <c r="W63" s="615" t="s">
        <v>612</v>
      </c>
      <c r="X63" s="664">
        <v>0.1</v>
      </c>
      <c r="Y63" s="508"/>
      <c r="Z63" s="548"/>
      <c r="AA63" s="604"/>
      <c r="AB63" s="605"/>
      <c r="AC63" s="512"/>
      <c r="AD63" s="549"/>
      <c r="AE63" s="604"/>
      <c r="AF63" s="605"/>
      <c r="AG63" s="512"/>
      <c r="AH63" s="549"/>
      <c r="AI63" s="604"/>
      <c r="AJ63" s="605"/>
      <c r="AK63" s="512"/>
      <c r="AL63" s="549"/>
      <c r="AM63" s="604"/>
      <c r="AN63" s="605"/>
      <c r="AO63" s="512"/>
      <c r="AP63" s="549"/>
    </row>
    <row r="64" spans="2:42" hidden="1" outlineLevel="1" x14ac:dyDescent="0.2">
      <c r="B64" s="492" t="s">
        <v>341</v>
      </c>
      <c r="C64" s="492" t="s">
        <v>262</v>
      </c>
      <c r="D64" s="492">
        <v>2400</v>
      </c>
      <c r="E64" s="492" t="s">
        <v>28</v>
      </c>
      <c r="F64" s="528" t="s">
        <v>362</v>
      </c>
      <c r="Q64" s="503"/>
      <c r="R64" s="562"/>
      <c r="S64" s="562"/>
      <c r="T64" s="562"/>
      <c r="V64" s="552"/>
      <c r="W64" s="603"/>
      <c r="X64" s="515"/>
      <c r="Y64" s="508"/>
      <c r="Z64" s="548"/>
      <c r="AA64" s="604"/>
      <c r="AB64" s="605"/>
      <c r="AC64" s="512"/>
      <c r="AD64" s="549"/>
      <c r="AE64" s="604"/>
      <c r="AF64" s="605"/>
      <c r="AG64" s="512"/>
      <c r="AH64" s="549"/>
      <c r="AI64" s="604"/>
      <c r="AJ64" s="605"/>
      <c r="AK64" s="512"/>
      <c r="AL64" s="549"/>
      <c r="AM64" s="604"/>
      <c r="AN64" s="605"/>
      <c r="AO64" s="512"/>
      <c r="AP64" s="549"/>
    </row>
    <row r="65" spans="2:46" ht="14.25" hidden="1" customHeight="1" outlineLevel="1" x14ac:dyDescent="0.2">
      <c r="Q65" s="503"/>
      <c r="R65" s="562"/>
      <c r="S65" s="562"/>
      <c r="T65" s="562"/>
      <c r="V65" s="552"/>
      <c r="W65" s="603"/>
      <c r="X65" s="515"/>
      <c r="Y65" s="508"/>
      <c r="Z65" s="548"/>
      <c r="AA65" s="604"/>
      <c r="AB65" s="605"/>
      <c r="AC65" s="512"/>
      <c r="AD65" s="549"/>
      <c r="AE65" s="604"/>
      <c r="AF65" s="605"/>
      <c r="AG65" s="512"/>
      <c r="AH65" s="549"/>
      <c r="AI65" s="604"/>
      <c r="AJ65" s="605"/>
      <c r="AK65" s="512"/>
      <c r="AL65" s="549"/>
      <c r="AM65" s="604"/>
      <c r="AN65" s="605"/>
      <c r="AO65" s="512"/>
      <c r="AP65" s="549"/>
    </row>
    <row r="66" spans="2:46" hidden="1" outlineLevel="1" x14ac:dyDescent="0.2">
      <c r="B66" s="597" t="s">
        <v>342</v>
      </c>
      <c r="Q66" s="503"/>
      <c r="R66" s="562"/>
      <c r="S66" s="562"/>
      <c r="T66" s="562"/>
      <c r="V66" s="552"/>
      <c r="W66" s="552"/>
      <c r="X66" s="508"/>
      <c r="Y66" s="508"/>
      <c r="Z66" s="548"/>
      <c r="AA66" s="553"/>
      <c r="AB66" s="512"/>
      <c r="AC66" s="512"/>
      <c r="AD66" s="549"/>
      <c r="AE66" s="553"/>
      <c r="AF66" s="512"/>
      <c r="AG66" s="512"/>
      <c r="AH66" s="549"/>
      <c r="AI66" s="553"/>
      <c r="AJ66" s="512"/>
      <c r="AK66" s="512"/>
      <c r="AL66" s="549"/>
      <c r="AM66" s="553"/>
      <c r="AN66" s="512"/>
      <c r="AO66" s="512"/>
      <c r="AP66" s="549"/>
    </row>
    <row r="67" spans="2:46" ht="14.25" hidden="1" customHeight="1" outlineLevel="1" x14ac:dyDescent="0.2">
      <c r="B67" s="625" t="s">
        <v>343</v>
      </c>
      <c r="Q67" s="503"/>
      <c r="R67" s="562"/>
      <c r="S67" s="562"/>
      <c r="T67" s="562"/>
      <c r="V67" s="552"/>
      <c r="W67" s="552"/>
      <c r="X67" s="508"/>
      <c r="Y67" s="508"/>
      <c r="Z67" s="548"/>
      <c r="AA67" s="553"/>
      <c r="AB67" s="512"/>
      <c r="AC67" s="512"/>
      <c r="AD67" s="549"/>
      <c r="AE67" s="553"/>
      <c r="AF67" s="512"/>
      <c r="AG67" s="512"/>
      <c r="AH67" s="549"/>
      <c r="AI67" s="553"/>
      <c r="AJ67" s="512"/>
      <c r="AK67" s="512"/>
      <c r="AL67" s="549"/>
      <c r="AM67" s="553"/>
      <c r="AN67" s="512"/>
      <c r="AO67" s="512"/>
      <c r="AP67" s="549"/>
    </row>
    <row r="68" spans="2:46" ht="8.1" customHeight="1" collapsed="1" thickBot="1" x14ac:dyDescent="0.25">
      <c r="B68" s="625" t="s">
        <v>344</v>
      </c>
      <c r="Q68" s="503"/>
      <c r="R68" s="562"/>
      <c r="S68" s="562"/>
      <c r="T68" s="562"/>
      <c r="V68" s="617"/>
      <c r="W68" s="617"/>
      <c r="X68" s="618"/>
      <c r="Y68" s="618"/>
      <c r="Z68" s="619"/>
      <c r="AA68" s="621"/>
      <c r="AB68" s="620"/>
      <c r="AC68" s="620"/>
      <c r="AD68" s="622"/>
      <c r="AE68" s="621"/>
      <c r="AF68" s="620"/>
      <c r="AG68" s="620"/>
      <c r="AH68" s="622"/>
      <c r="AI68" s="621"/>
      <c r="AJ68" s="620"/>
      <c r="AK68" s="620"/>
      <c r="AL68" s="622"/>
      <c r="AM68" s="621"/>
      <c r="AN68" s="620"/>
      <c r="AO68" s="620"/>
      <c r="AP68" s="622"/>
    </row>
    <row r="69" spans="2:46" ht="8.1" customHeight="1" thickBot="1" x14ac:dyDescent="0.25">
      <c r="I69" s="495"/>
      <c r="Q69" s="503"/>
      <c r="R69" s="562"/>
      <c r="S69" s="562"/>
      <c r="T69" s="483"/>
      <c r="AJ69" s="490"/>
      <c r="AK69" s="490"/>
      <c r="AL69" s="490"/>
      <c r="AN69" s="490"/>
      <c r="AO69" s="490"/>
      <c r="AP69" s="490"/>
    </row>
    <row r="70" spans="2:46" ht="15" customHeight="1" x14ac:dyDescent="0.2">
      <c r="I70" s="495"/>
      <c r="Q70" s="503"/>
      <c r="R70" s="562"/>
      <c r="S70" s="562"/>
      <c r="T70" s="532"/>
      <c r="U70" s="700" t="s">
        <v>882</v>
      </c>
      <c r="V70" s="623" t="s">
        <v>833</v>
      </c>
      <c r="W70" s="674" t="str">
        <f ca="1">IFERROR(INDEX(Language_Dictionary,MATCH(V70,Language_Base,0),MATCH(Language_Selected,Language_available,0)), "Language base not setup in dictionary")</f>
        <v>SELECT CONFIGURATIONS</v>
      </c>
      <c r="X70" s="675"/>
      <c r="Y70" s="676"/>
      <c r="Z70" s="676"/>
      <c r="AA70" s="676"/>
      <c r="AB70" s="676"/>
      <c r="AC70" s="676"/>
      <c r="AD70" s="623"/>
      <c r="AE70" s="677" t="str">
        <f ca="1">IFERROR(INDEX(Language_Dictionary,MATCH(U70,Language_Base,0),MATCH(Language_Selected,Language_available,0)), "Language base not setup in dictionary")</f>
        <v>INPUT FOLLOWING CUSTOM PARTS, IF REQUIRED</v>
      </c>
      <c r="AF70" s="679"/>
      <c r="AG70" s="679"/>
      <c r="AH70" s="742"/>
      <c r="AJ70" s="490"/>
      <c r="AK70" s="490"/>
      <c r="AL70" s="490"/>
      <c r="AN70" s="490"/>
      <c r="AO70" s="490"/>
      <c r="AP70" s="490"/>
    </row>
    <row r="71" spans="2:46" ht="15" customHeight="1" thickBot="1" x14ac:dyDescent="0.25">
      <c r="I71" s="495"/>
      <c r="Q71" s="503"/>
      <c r="R71" s="562"/>
      <c r="S71" s="562"/>
      <c r="T71" s="532"/>
      <c r="U71" s="701"/>
      <c r="V71" s="563" t="s">
        <v>818</v>
      </c>
      <c r="W71" s="667" t="str">
        <f t="shared" ref="W71:W77" ca="1" si="6">IFERROR(INDEX(Language_Dictionary,MATCH(V71,Language_Base,0),MATCH(Language_Selected,Language_available,0)), "Language base not setup in dictionary")</f>
        <v>DROP</v>
      </c>
      <c r="X71" s="669"/>
      <c r="Y71" s="689"/>
      <c r="Z71" s="669"/>
      <c r="AA71" s="779">
        <v>80</v>
      </c>
      <c r="AB71" s="779"/>
      <c r="AC71" s="520" t="str">
        <f>IF($AF$3='Chart Parameters'!$H$19,"inch","mm")</f>
        <v>inch</v>
      </c>
      <c r="AD71" s="508"/>
      <c r="AE71" s="552"/>
      <c r="AF71" s="508"/>
      <c r="AG71" s="508"/>
      <c r="AH71" s="548"/>
      <c r="AJ71" s="490"/>
      <c r="AK71" s="490"/>
      <c r="AL71" s="490"/>
      <c r="AN71" s="490"/>
      <c r="AO71" s="490"/>
      <c r="AP71" s="490"/>
    </row>
    <row r="72" spans="2:46" ht="15" customHeight="1" x14ac:dyDescent="0.3">
      <c r="I72" s="495"/>
      <c r="Q72" s="503"/>
      <c r="R72" s="562"/>
      <c r="S72" s="562"/>
      <c r="T72" s="532"/>
      <c r="U72" s="701" t="s">
        <v>346</v>
      </c>
      <c r="V72" s="563" t="s">
        <v>346</v>
      </c>
      <c r="W72" s="667" t="str">
        <f t="shared" ca="1" si="6"/>
        <v>FABRIC</v>
      </c>
      <c r="X72" s="668"/>
      <c r="Y72" s="669"/>
      <c r="Z72" s="689"/>
      <c r="AA72" s="749" t="str">
        <f ca="1">INDEX(fabric_dropdown,AT72,FALSE)</f>
        <v>Phifer, SheerWeave Style 7100</v>
      </c>
      <c r="AB72" s="750"/>
      <c r="AC72" s="748"/>
      <c r="AD72" s="508"/>
      <c r="AE72" s="667" t="str">
        <f ca="1">IFERROR(INDEX(Language_Dictionary,MATCH(U72,Language_Base,0),MATCH(Language_Selected,Language_available,0)), "Language base not setup in dictionary")</f>
        <v>FABRIC</v>
      </c>
      <c r="AF72" s="508"/>
      <c r="AG72" s="508"/>
      <c r="AH72" s="548"/>
      <c r="AJ72" s="490"/>
      <c r="AK72" s="490"/>
      <c r="AL72" s="490"/>
      <c r="AN72" s="490"/>
      <c r="AO72" s="490"/>
      <c r="AP72" s="490"/>
      <c r="AT72" s="743">
        <v>109</v>
      </c>
    </row>
    <row r="73" spans="2:46" ht="15" customHeight="1" x14ac:dyDescent="0.3">
      <c r="I73" s="495"/>
      <c r="Q73" s="503"/>
      <c r="R73" s="562"/>
      <c r="S73" s="562"/>
      <c r="T73" s="173"/>
      <c r="U73" s="701" t="s">
        <v>627</v>
      </c>
      <c r="V73" s="563" t="s">
        <v>627</v>
      </c>
      <c r="W73" s="685"/>
      <c r="X73" s="686"/>
      <c r="Y73" s="687"/>
      <c r="Z73" s="690" t="str">
        <f ca="1">IFERROR(INDEX(Language_Dictionary,MATCH(V73,Language_Base,0),MATCH(Language_Selected,Language_available,0)), "Language base not setup in dictionary")</f>
        <v>WEIGHT</v>
      </c>
      <c r="AA73" s="777">
        <f ca="1">VLOOKUP(AA72,fabric_lookup,6,FALSE)</f>
        <v>19.800003109430577</v>
      </c>
      <c r="AB73" s="777"/>
      <c r="AC73" s="520" t="str">
        <f>IF($AF$3='Chart Parameters'!$H$19,"oz/yd²","g/m²")</f>
        <v>oz/yd²</v>
      </c>
      <c r="AD73" s="703" t="s">
        <v>847</v>
      </c>
      <c r="AE73" s="685" t="str">
        <f ca="1">IFERROR(INDEX(Language_Dictionary,MATCH(U73,Language_Base,0),MATCH(Language_Selected,Language_available,0)), "Language base not setup in dictionary")</f>
        <v>WEIGHT</v>
      </c>
      <c r="AF73" s="695">
        <v>450</v>
      </c>
      <c r="AG73" s="696" t="str">
        <f>IF($AF$3='Chart Parameters'!$H$19,"oz/yd²","g/m²")</f>
        <v>oz/yd²</v>
      </c>
      <c r="AH73" s="548"/>
      <c r="AJ73" s="490"/>
      <c r="AK73" s="490"/>
      <c r="AL73" s="490"/>
      <c r="AN73" s="490"/>
      <c r="AO73" s="490"/>
      <c r="AP73" s="490"/>
      <c r="AT73" s="744"/>
    </row>
    <row r="74" spans="2:46" ht="15" customHeight="1" x14ac:dyDescent="0.3">
      <c r="I74" s="495"/>
      <c r="Q74" s="503"/>
      <c r="R74" s="562"/>
      <c r="S74" s="562"/>
      <c r="T74" s="173"/>
      <c r="U74" s="701" t="s">
        <v>626</v>
      </c>
      <c r="V74" s="563" t="s">
        <v>626</v>
      </c>
      <c r="W74" s="685"/>
      <c r="X74" s="686"/>
      <c r="Y74" s="687"/>
      <c r="Z74" s="690" t="str">
        <f ca="1">IFERROR(INDEX(Language_Dictionary,MATCH(V74,Language_Base,0),MATCH(Language_Selected,Language_available,0)), "Language base not setup in dictionary")</f>
        <v>THICKNESS</v>
      </c>
      <c r="AA74" s="778">
        <f ca="1">VLOOKUP(AA72,fabric_lookup,5,FALSE)</f>
        <v>2.29999998482E-2</v>
      </c>
      <c r="AB74" s="778"/>
      <c r="AC74" s="520" t="str">
        <f>IF($AF$3='Chart Parameters'!$H$19,"inch","mm")</f>
        <v>inch</v>
      </c>
      <c r="AD74" s="703" t="s">
        <v>847</v>
      </c>
      <c r="AE74" s="685" t="str">
        <f ca="1">IFERROR(INDEX(Language_Dictionary,MATCH(U74,Language_Base,0),MATCH(Language_Selected,Language_available,0)), "Language base not setup in dictionary")</f>
        <v>THICKNESS</v>
      </c>
      <c r="AF74" s="758">
        <v>0.5</v>
      </c>
      <c r="AG74" s="696" t="str">
        <f>IF($AF$3='Chart Parameters'!$H$19,"inch","mm")</f>
        <v>inch</v>
      </c>
      <c r="AH74" s="548"/>
      <c r="AJ74" s="490"/>
      <c r="AK74" s="490"/>
      <c r="AL74" s="490"/>
      <c r="AN74" s="490"/>
      <c r="AO74" s="490"/>
      <c r="AP74" s="490"/>
      <c r="AT74" s="744"/>
    </row>
    <row r="75" spans="2:46" ht="17.100000000000001" customHeight="1" x14ac:dyDescent="0.3">
      <c r="I75" s="495"/>
      <c r="Q75" s="503"/>
      <c r="R75" s="562"/>
      <c r="S75" s="562"/>
      <c r="T75" s="173"/>
      <c r="U75" s="701" t="s">
        <v>88</v>
      </c>
      <c r="V75" s="563" t="s">
        <v>88</v>
      </c>
      <c r="W75" s="667" t="str">
        <f t="shared" ca="1" si="6"/>
        <v>HEM BAR</v>
      </c>
      <c r="X75" s="668"/>
      <c r="Y75" s="669"/>
      <c r="Z75" s="689"/>
      <c r="AA75" s="776" t="str">
        <f ca="1">INDEX(wb_dropdown,AT75,FALSE)</f>
        <v>HB16</v>
      </c>
      <c r="AB75" s="776"/>
      <c r="AC75" s="776"/>
      <c r="AD75" s="741" t="s">
        <v>847</v>
      </c>
      <c r="AE75" s="667" t="str">
        <f ca="1">IFERROR(INDEX(Language_Dictionary,MATCH(U75,Language_Base,0),MATCH(Language_Selected,Language_available,0)), "Language base not setup in dictionary")</f>
        <v>HEM BAR</v>
      </c>
      <c r="AF75" s="698">
        <v>0.38</v>
      </c>
      <c r="AG75" s="696" t="str">
        <f>IF($AF$3='Chart Parameters'!$H$19,"lb/yd","kg/m")</f>
        <v>lb/yd</v>
      </c>
      <c r="AH75" s="548"/>
      <c r="AJ75" s="490"/>
      <c r="AK75" s="490"/>
      <c r="AL75" s="490"/>
      <c r="AN75" s="490"/>
      <c r="AO75" s="490"/>
      <c r="AP75" s="490"/>
      <c r="AT75" s="744">
        <v>11</v>
      </c>
    </row>
    <row r="76" spans="2:46" ht="17.100000000000001" customHeight="1" x14ac:dyDescent="0.3">
      <c r="I76" s="495"/>
      <c r="Q76" s="503"/>
      <c r="R76" s="562"/>
      <c r="S76" s="562"/>
      <c r="T76" s="173"/>
      <c r="U76" s="701" t="s">
        <v>367</v>
      </c>
      <c r="V76" s="563" t="s">
        <v>367</v>
      </c>
      <c r="W76" s="667" t="str">
        <f t="shared" ca="1" si="6"/>
        <v>BALLAST</v>
      </c>
      <c r="X76" s="668"/>
      <c r="Y76" s="669"/>
      <c r="Z76" s="689"/>
      <c r="AA76" s="776" t="str">
        <f ca="1">INDEX(ballast_dropdown,AT76,FALSE)</f>
        <v>NONE</v>
      </c>
      <c r="AB76" s="776"/>
      <c r="AC76" s="776"/>
      <c r="AD76" s="741" t="s">
        <v>847</v>
      </c>
      <c r="AE76" s="667" t="str">
        <f ca="1">IFERROR(INDEX(Language_Dictionary,MATCH(U76,Language_Base,0),MATCH(Language_Selected,Language_available,0)), "Language base not setup in dictionary")</f>
        <v>BALLAST</v>
      </c>
      <c r="AF76" s="697">
        <v>0.2</v>
      </c>
      <c r="AG76" s="696" t="str">
        <f>IF($AF$3='Chart Parameters'!$H$19,"lb/yd","kg/m")</f>
        <v>lb/yd</v>
      </c>
      <c r="AH76" s="548"/>
      <c r="AJ76" s="490"/>
      <c r="AK76" s="490"/>
      <c r="AL76" s="490"/>
      <c r="AN76" s="490"/>
      <c r="AO76" s="490"/>
      <c r="AP76" s="490"/>
      <c r="AT76" s="744">
        <v>1</v>
      </c>
    </row>
    <row r="77" spans="2:46" ht="17.100000000000001" customHeight="1" x14ac:dyDescent="0.3">
      <c r="I77" s="495"/>
      <c r="Q77" s="503"/>
      <c r="R77" s="562"/>
      <c r="S77" s="562"/>
      <c r="T77" s="173"/>
      <c r="U77" s="701"/>
      <c r="V77" s="563" t="s">
        <v>615</v>
      </c>
      <c r="W77" s="667" t="str">
        <f t="shared" ca="1" si="6"/>
        <v>PRE-WRAP</v>
      </c>
      <c r="X77" s="668"/>
      <c r="Y77" s="669"/>
      <c r="Z77" s="689"/>
      <c r="AA77" s="597" t="str">
        <f>INDEX(pwa_list,AT77,FALSE)</f>
        <v>No</v>
      </c>
      <c r="AB77" s="597"/>
      <c r="AC77" s="597"/>
      <c r="AD77" s="508"/>
      <c r="AE77" s="552"/>
      <c r="AF77" s="508"/>
      <c r="AG77" s="508"/>
      <c r="AH77" s="548"/>
      <c r="AJ77" s="490"/>
      <c r="AK77" s="490"/>
      <c r="AL77" s="490"/>
      <c r="AN77" s="490"/>
      <c r="AO77" s="490"/>
      <c r="AP77" s="490"/>
      <c r="AT77" s="744">
        <v>2</v>
      </c>
    </row>
    <row r="78" spans="2:46" ht="17.100000000000001" customHeight="1" thickBot="1" x14ac:dyDescent="0.35">
      <c r="I78" s="495"/>
      <c r="Q78" s="503"/>
      <c r="R78" s="562"/>
      <c r="S78" s="562"/>
      <c r="T78" s="562"/>
      <c r="U78" s="702"/>
      <c r="V78" s="699" t="s">
        <v>348</v>
      </c>
      <c r="W78" s="670" t="str">
        <f ca="1">IFERROR(INDEX(Language_Dictionary,MATCH(V78,Language_Base,0),MATCH(Language_Selected,Language_available,0)), "Language base not setup in dictionary")</f>
        <v>Tube</v>
      </c>
      <c r="X78" s="672"/>
      <c r="Y78" s="671"/>
      <c r="Z78" s="691"/>
      <c r="AA78" s="775" t="str">
        <f ca="1">INDEX(tube_dropdown,AT78,FALSE)</f>
        <v>1.5" (38mm) Tube</v>
      </c>
      <c r="AB78" s="775"/>
      <c r="AC78" s="775"/>
      <c r="AD78" s="618"/>
      <c r="AE78" s="617"/>
      <c r="AF78" s="618"/>
      <c r="AG78" s="618"/>
      <c r="AH78" s="619"/>
      <c r="AJ78" s="490"/>
      <c r="AK78" s="490"/>
      <c r="AL78" s="490"/>
      <c r="AN78" s="490"/>
      <c r="AO78" s="490"/>
      <c r="AP78" s="490"/>
      <c r="AT78" s="745">
        <v>17</v>
      </c>
    </row>
    <row r="79" spans="2:46" ht="8.1" customHeight="1" thickBot="1" x14ac:dyDescent="0.25">
      <c r="I79" s="495"/>
      <c r="Q79" s="503"/>
      <c r="R79" s="562"/>
      <c r="S79" s="562"/>
      <c r="T79" s="562"/>
      <c r="V79" s="562"/>
      <c r="W79" s="562"/>
      <c r="X79" s="562"/>
      <c r="Y79" s="562"/>
      <c r="Z79" s="562"/>
      <c r="AB79" s="626"/>
    </row>
    <row r="80" spans="2:46" ht="15" customHeight="1" x14ac:dyDescent="0.2">
      <c r="I80" s="495"/>
      <c r="Q80" s="503"/>
      <c r="R80" s="562"/>
      <c r="S80" s="562"/>
      <c r="T80" s="562"/>
      <c r="V80" s="715" t="s">
        <v>824</v>
      </c>
      <c r="W80" s="677" t="str">
        <f ca="1">IFERROR(INDEX(Language_Dictionary,MATCH(V80,Language_Base,0),MATCH(Language_Selected,Language_available,0)), "Language base not setup in dictionary")</f>
        <v>SYSTEM SUMMARY</v>
      </c>
      <c r="X80" s="678"/>
      <c r="Y80" s="678"/>
      <c r="Z80" s="678"/>
      <c r="AA80" s="679"/>
      <c r="AB80" s="679"/>
      <c r="AC80" s="679"/>
      <c r="AD80" s="623"/>
      <c r="AE80" s="623"/>
      <c r="AF80" s="623"/>
      <c r="AG80" s="623"/>
      <c r="AH80" s="624"/>
    </row>
    <row r="81" spans="9:34" ht="15" customHeight="1" x14ac:dyDescent="0.2">
      <c r="I81" s="495"/>
      <c r="Q81" s="503"/>
      <c r="R81" s="562"/>
      <c r="S81" s="562"/>
      <c r="T81" s="562"/>
      <c r="V81" s="716" t="s">
        <v>613</v>
      </c>
      <c r="W81" s="667" t="str">
        <f ca="1">IFERROR(INDEX(Language_Dictionary,MATCH(V81,Language_Base,0),MATCH(Language_Selected,Language_available,0)), "Language base not setup in dictionary")</f>
        <v>CONTROL TORQUE REQUIREMENT</v>
      </c>
      <c r="X81" s="666"/>
      <c r="Y81" s="669"/>
      <c r="Z81" s="669"/>
      <c r="AA81" s="692">
        <f ca="1">X51</f>
        <v>0.97833376146835316</v>
      </c>
      <c r="AB81" s="665"/>
      <c r="AC81" s="471" t="str">
        <f>"Nm"</f>
        <v>Nm</v>
      </c>
      <c r="AD81" s="754">
        <f ca="1">AA81/$D$55</f>
        <v>8.6589856464617654</v>
      </c>
      <c r="AE81" s="755"/>
      <c r="AF81" s="755"/>
      <c r="AG81" s="471" t="str">
        <f>"lbf-in"</f>
        <v>lbf-in</v>
      </c>
      <c r="AH81" s="548"/>
    </row>
    <row r="82" spans="9:34" ht="15" customHeight="1" x14ac:dyDescent="0.2">
      <c r="I82" s="495"/>
      <c r="Q82" s="503"/>
      <c r="R82" s="562"/>
      <c r="S82" s="562"/>
      <c r="T82" s="562"/>
      <c r="V82" s="716" t="s">
        <v>624</v>
      </c>
      <c r="W82" s="667" t="str">
        <f ca="1">IFERROR(INDEX(Language_Dictionary,MATCH(V82,Language_Base,0),MATCH(Language_Selected,Language_available,0)), "Language base not setup in dictionary")</f>
        <v>TOTAL SHADE WEIGHT</v>
      </c>
      <c r="X82" s="666"/>
      <c r="Y82" s="669"/>
      <c r="Z82" s="669"/>
      <c r="AA82" s="692">
        <f ca="1">X29+AB29+AF29+AJ29+AN29</f>
        <v>10.846588377705729</v>
      </c>
      <c r="AB82" s="665"/>
      <c r="AC82" s="471" t="str">
        <f>IF($AF$3='Chart Parameters'!$H$19,"lb","kg")</f>
        <v>lb</v>
      </c>
      <c r="AD82" s="508"/>
      <c r="AE82" s="508"/>
      <c r="AF82" s="508"/>
      <c r="AG82" s="508"/>
      <c r="AH82" s="548"/>
    </row>
    <row r="83" spans="9:34" ht="15" customHeight="1" x14ac:dyDescent="0.2">
      <c r="I83" s="495"/>
      <c r="Q83" s="503"/>
      <c r="R83" s="562"/>
      <c r="S83" s="562"/>
      <c r="T83" s="562"/>
      <c r="V83" s="716" t="s">
        <v>808</v>
      </c>
      <c r="W83" s="667" t="str">
        <f ca="1">IFERROR(INDEX(Language_Dictionary,MATCH(V83,Language_Base,0),MATCH(Language_Selected,Language_available,0)), "Language base not setup in dictionary")</f>
        <v>LINK TORQUE REQUIREMENT</v>
      </c>
      <c r="X83" s="666"/>
      <c r="Y83" s="669"/>
      <c r="Z83" s="669"/>
      <c r="AA83" s="692">
        <f ca="1">AB51</f>
        <v>0.46587321974683477</v>
      </c>
      <c r="AB83" s="665"/>
      <c r="AC83" s="471" t="str">
        <f>"Nm"</f>
        <v>Nm</v>
      </c>
      <c r="AD83" s="754">
        <f ca="1">AA83/$D$55</f>
        <v>4.1233264983151257</v>
      </c>
      <c r="AE83" s="665"/>
      <c r="AF83" s="665"/>
      <c r="AG83" s="471" t="str">
        <f>"lbf-in"</f>
        <v>lbf-in</v>
      </c>
      <c r="AH83" s="548"/>
    </row>
    <row r="84" spans="9:34" ht="8.1" customHeight="1" x14ac:dyDescent="0.2">
      <c r="I84" s="495"/>
      <c r="Q84" s="503"/>
      <c r="R84" s="562"/>
      <c r="S84" s="562"/>
      <c r="T84" s="562"/>
      <c r="V84" s="716"/>
      <c r="W84" s="627"/>
      <c r="X84" s="747" t="s">
        <v>913</v>
      </c>
      <c r="Y84" s="629"/>
      <c r="Z84" s="508"/>
      <c r="AA84" s="508"/>
      <c r="AB84" s="746" t="s">
        <v>909</v>
      </c>
      <c r="AC84" s="508"/>
      <c r="AD84" s="508"/>
      <c r="AE84" s="746" t="s">
        <v>910</v>
      </c>
      <c r="AF84" s="508"/>
      <c r="AG84" s="508"/>
      <c r="AH84" s="548"/>
    </row>
    <row r="85" spans="9:34" ht="24.4" hidden="1" customHeight="1" outlineLevel="1" thickBot="1" x14ac:dyDescent="0.25">
      <c r="I85" s="495"/>
      <c r="Q85" s="503"/>
      <c r="R85" s="562"/>
      <c r="S85" s="562"/>
      <c r="T85" s="562"/>
      <c r="V85" s="716"/>
      <c r="W85" s="627"/>
      <c r="X85" s="719" t="s">
        <v>370</v>
      </c>
      <c r="Y85" s="629"/>
      <c r="Z85" s="508"/>
      <c r="AA85" s="508"/>
      <c r="AB85" s="719" t="s">
        <v>371</v>
      </c>
      <c r="AC85" s="508"/>
      <c r="AD85" s="508"/>
      <c r="AE85" s="720" t="s">
        <v>809</v>
      </c>
      <c r="AF85" s="508"/>
      <c r="AG85" s="508"/>
      <c r="AH85" s="548"/>
    </row>
    <row r="86" spans="9:34" ht="15" customHeight="1" collapsed="1" x14ac:dyDescent="0.2">
      <c r="I86" s="495"/>
      <c r="Q86" s="503"/>
      <c r="R86" s="562"/>
      <c r="S86" s="562"/>
      <c r="T86" s="562"/>
      <c r="V86" s="717"/>
      <c r="W86" s="552"/>
      <c r="X86" s="630" t="str">
        <f ca="1">IFERROR(INDEX(Language_Dictionary,MATCH(X85,Language_Base,0),MATCH(Language_Selected,Language_available,0)), "Language base not setup in dictionary")</f>
        <v>COMPATIBLE CLUTCH</v>
      </c>
      <c r="Y86" s="508"/>
      <c r="Z86" s="508"/>
      <c r="AA86" s="508"/>
      <c r="AB86" s="630" t="str">
        <f ca="1">IFERROR(INDEX(Language_Dictionary,MATCH(AB85,Language_Base,0),MATCH(Language_Selected,Language_available,0)), "Language base not setup in dictionary")</f>
        <v>COMPATIBLE MOTOR</v>
      </c>
      <c r="AC86" s="508"/>
      <c r="AD86" s="508"/>
      <c r="AE86" s="630" t="str">
        <f ca="1">IFERROR(INDEX(Language_Dictionary,MATCH(AE85,Language_Base,0),MATCH(Language_Selected,Language_available,0)), "Language base not setup in dictionary")</f>
        <v>COMPATIBLE LINK SYSTEM</v>
      </c>
      <c r="AF86" s="508"/>
      <c r="AG86" s="508"/>
      <c r="AH86" s="548"/>
    </row>
    <row r="87" spans="9:34" x14ac:dyDescent="0.2">
      <c r="Q87" s="518"/>
      <c r="R87" s="562"/>
      <c r="S87" s="562"/>
      <c r="T87" s="562"/>
      <c r="V87" s="717"/>
      <c r="W87" s="552"/>
      <c r="X87" s="597" t="str">
        <f ca="1">IF(LEN('Chart Parameters'!N234)=0,IFERROR(INDEX(Language_Dictionary,MATCH(X84,Language_Base,0),MATCH(Language_Selected,Language_available,0)), "Language base not setup in dictionary"),'Chart Parameters'!N234)</f>
        <v>SL15</v>
      </c>
      <c r="Y87" s="508"/>
      <c r="Z87" s="508"/>
      <c r="AA87" s="508"/>
      <c r="AB87" s="597" t="str">
        <f ca="1">IF(LEN('Chart Parameters'!J270)=0,IFERROR(INDEX(Language_Dictionary,MATCH(AB84,Language_Base,0),MATCH(Language_Selected,Language_available,0)), "Language base not setup in dictionary"),'Chart Parameters'!J270)</f>
        <v>MTDCRF25-1.1</v>
      </c>
      <c r="AC87" s="508"/>
      <c r="AD87" s="508"/>
      <c r="AE87" s="597" t="str">
        <f ca="1">IF(LEN('Chart Parameters'!J306)=0,IFERROR(INDEX(Language_Dictionary,MATCH(AE84,Language_Base,0),MATCH(Language_Selected,Language_available,0)), "Language base not setup in dictionary"),'Chart Parameters'!J306)</f>
        <v>EASY-LINK SKYLINE</v>
      </c>
      <c r="AF87" s="508"/>
      <c r="AG87" s="508"/>
      <c r="AH87" s="548"/>
    </row>
    <row r="88" spans="9:34" ht="15" customHeight="1" x14ac:dyDescent="0.2">
      <c r="K88" s="510"/>
      <c r="L88" s="510"/>
      <c r="M88" s="772"/>
      <c r="N88" s="772"/>
      <c r="O88" s="772"/>
      <c r="P88" s="631"/>
      <c r="Q88" s="547"/>
      <c r="R88" s="483"/>
      <c r="S88" s="483"/>
      <c r="T88" s="562"/>
      <c r="V88" s="716"/>
      <c r="W88" s="552"/>
      <c r="X88" s="597" t="str">
        <f ca="1">'Chart Parameters'!N235</f>
        <v>SL20</v>
      </c>
      <c r="Y88" s="508"/>
      <c r="Z88" s="508"/>
      <c r="AA88" s="508"/>
      <c r="AB88" s="597" t="str">
        <f ca="1">'Chart Parameters'!J271</f>
        <v>MTDCBRF25-1.1</v>
      </c>
      <c r="AC88" s="508"/>
      <c r="AD88" s="508"/>
      <c r="AE88" s="597" t="str">
        <f ca="1">'Chart Parameters'!J307</f>
        <v>EASY-LINK</v>
      </c>
      <c r="AF88" s="508"/>
      <c r="AG88" s="508"/>
      <c r="AH88" s="548"/>
    </row>
    <row r="89" spans="9:34" ht="15" customHeight="1" x14ac:dyDescent="0.2">
      <c r="K89" s="510"/>
      <c r="L89" s="510"/>
      <c r="M89" s="631"/>
      <c r="N89" s="631"/>
      <c r="O89" s="631"/>
      <c r="P89" s="631"/>
      <c r="Q89" s="547"/>
      <c r="R89" s="483"/>
      <c r="S89" s="483"/>
      <c r="T89" s="562"/>
      <c r="V89" s="716"/>
      <c r="W89" s="552"/>
      <c r="X89" s="597" t="str">
        <f ca="1">'Chart Parameters'!N236</f>
        <v>SL30</v>
      </c>
      <c r="Y89" s="508"/>
      <c r="Z89" s="508"/>
      <c r="AA89" s="508"/>
      <c r="AB89" s="597" t="str">
        <f ca="1">'Chart Parameters'!J272</f>
        <v>MTDCRFQ28-2</v>
      </c>
      <c r="AC89" s="508"/>
      <c r="AD89" s="508"/>
      <c r="AE89" s="597" t="str">
        <f ca="1">'Chart Parameters'!J308</f>
        <v>EASY-LINK UNI-JOINT</v>
      </c>
      <c r="AF89" s="508"/>
      <c r="AG89" s="508"/>
      <c r="AH89" s="548"/>
    </row>
    <row r="90" spans="9:34" ht="15" customHeight="1" x14ac:dyDescent="0.2">
      <c r="K90" s="510"/>
      <c r="L90" s="510"/>
      <c r="M90" s="631"/>
      <c r="N90" s="631"/>
      <c r="O90" s="631"/>
      <c r="P90" s="631"/>
      <c r="Q90" s="547"/>
      <c r="R90" s="483"/>
      <c r="S90" s="483"/>
      <c r="T90" s="483"/>
      <c r="V90" s="716"/>
      <c r="W90" s="552"/>
      <c r="X90" s="597" t="str">
        <f ca="1">'Chart Parameters'!N237</f>
        <v>RGALH</v>
      </c>
      <c r="Y90" s="508"/>
      <c r="Z90" s="508"/>
      <c r="AA90" s="508"/>
      <c r="AB90" s="597" t="str">
        <f ca="1">'Chart Parameters'!J273</f>
        <v>MTDCBRFQ28-2</v>
      </c>
      <c r="AC90" s="508"/>
      <c r="AD90" s="508"/>
      <c r="AE90" s="597" t="str">
        <f ca="1">'Chart Parameters'!J309</f>
        <v>INFINITE LINK SYSTEM</v>
      </c>
      <c r="AF90" s="508"/>
      <c r="AG90" s="508"/>
      <c r="AH90" s="548"/>
    </row>
    <row r="91" spans="9:34" x14ac:dyDescent="0.2">
      <c r="K91" s="510"/>
      <c r="L91" s="510"/>
      <c r="M91" s="631"/>
      <c r="N91" s="631"/>
      <c r="O91" s="631"/>
      <c r="P91" s="631"/>
      <c r="Q91" s="547"/>
      <c r="R91" s="483"/>
      <c r="S91" s="483"/>
      <c r="T91" s="483"/>
      <c r="V91" s="716"/>
      <c r="W91" s="552"/>
      <c r="X91" s="597" t="str">
        <f ca="1">'Chart Parameters'!N238</f>
        <v>R16</v>
      </c>
      <c r="Y91" s="508"/>
      <c r="Z91" s="508"/>
      <c r="AA91" s="508"/>
      <c r="AB91" s="597" t="str">
        <f ca="1">'Chart Parameters'!J274</f>
        <v/>
      </c>
      <c r="AC91" s="508"/>
      <c r="AD91" s="508"/>
      <c r="AE91" s="597" t="str">
        <f ca="1">'Chart Parameters'!J310</f>
        <v/>
      </c>
      <c r="AF91" s="508"/>
      <c r="AG91" s="508"/>
      <c r="AH91" s="548"/>
    </row>
    <row r="92" spans="9:34" x14ac:dyDescent="0.2">
      <c r="K92" s="510"/>
      <c r="L92" s="510"/>
      <c r="M92" s="631"/>
      <c r="N92" s="631"/>
      <c r="O92" s="631"/>
      <c r="P92" s="631"/>
      <c r="Q92" s="547"/>
      <c r="R92" s="483"/>
      <c r="S92" s="483"/>
      <c r="T92" s="483"/>
      <c r="V92" s="716"/>
      <c r="W92" s="552"/>
      <c r="X92" s="597" t="str">
        <f ca="1">'Chart Parameters'!N239</f>
        <v>R24</v>
      </c>
      <c r="Y92" s="508"/>
      <c r="Z92" s="508"/>
      <c r="AA92" s="508"/>
      <c r="AB92" s="597" t="str">
        <f ca="1">'Chart Parameters'!J275</f>
        <v/>
      </c>
      <c r="AC92" s="508"/>
      <c r="AD92" s="508"/>
      <c r="AE92" s="597" t="str">
        <f ca="1">'Chart Parameters'!J311</f>
        <v/>
      </c>
      <c r="AF92" s="508"/>
      <c r="AG92" s="508"/>
      <c r="AH92" s="548"/>
    </row>
    <row r="93" spans="9:34" x14ac:dyDescent="0.2">
      <c r="K93" s="510"/>
      <c r="L93" s="510"/>
      <c r="M93" s="631"/>
      <c r="N93" s="631"/>
      <c r="O93" s="631"/>
      <c r="P93" s="631"/>
      <c r="Q93" s="580"/>
      <c r="R93" s="483"/>
      <c r="S93" s="483"/>
      <c r="T93" s="483"/>
      <c r="V93" s="716"/>
      <c r="W93" s="552"/>
      <c r="X93" s="597" t="str">
        <f ca="1">'Chart Parameters'!N240</f>
        <v/>
      </c>
      <c r="Y93" s="508"/>
      <c r="Z93" s="508"/>
      <c r="AA93" s="508"/>
      <c r="AB93" s="597" t="str">
        <f ca="1">'Chart Parameters'!J276</f>
        <v/>
      </c>
      <c r="AC93" s="508"/>
      <c r="AD93" s="508"/>
      <c r="AE93" s="597" t="str">
        <f ca="1">'Chart Parameters'!J312</f>
        <v/>
      </c>
      <c r="AF93" s="508"/>
      <c r="AG93" s="508"/>
      <c r="AH93" s="548"/>
    </row>
    <row r="94" spans="9:34" ht="12.6" customHeight="1" x14ac:dyDescent="0.2">
      <c r="J94" s="495"/>
      <c r="K94" s="510"/>
      <c r="L94" s="510"/>
      <c r="M94" s="631"/>
      <c r="N94" s="631"/>
      <c r="O94" s="631"/>
      <c r="P94" s="631"/>
      <c r="R94" s="581"/>
      <c r="S94" s="581"/>
      <c r="T94" s="483"/>
      <c r="V94" s="716"/>
      <c r="W94" s="552"/>
      <c r="X94" s="597" t="str">
        <f ca="1">'Chart Parameters'!N241</f>
        <v/>
      </c>
      <c r="Y94" s="508"/>
      <c r="Z94" s="508"/>
      <c r="AA94" s="508"/>
      <c r="AB94" s="597" t="str">
        <f ca="1">'Chart Parameters'!J277</f>
        <v/>
      </c>
      <c r="AC94" s="508"/>
      <c r="AD94" s="508"/>
      <c r="AE94" s="597"/>
      <c r="AF94" s="508"/>
      <c r="AG94" s="508"/>
      <c r="AH94" s="548"/>
    </row>
    <row r="95" spans="9:34" ht="12.6" customHeight="1" x14ac:dyDescent="0.2">
      <c r="J95" s="495"/>
      <c r="K95" s="510"/>
      <c r="L95" s="510"/>
      <c r="M95" s="631"/>
      <c r="N95" s="631"/>
      <c r="O95" s="631"/>
      <c r="P95" s="631"/>
      <c r="R95" s="581"/>
      <c r="S95" s="581"/>
      <c r="T95" s="483"/>
      <c r="V95" s="716"/>
      <c r="W95" s="552"/>
      <c r="X95" s="597" t="str">
        <f ca="1">'Chart Parameters'!N242</f>
        <v/>
      </c>
      <c r="Y95" s="508"/>
      <c r="Z95" s="508"/>
      <c r="AA95" s="508"/>
      <c r="AB95" s="597" t="str">
        <f ca="1">'Chart Parameters'!J278</f>
        <v/>
      </c>
      <c r="AC95" s="508"/>
      <c r="AD95" s="508"/>
      <c r="AE95" s="597"/>
      <c r="AF95" s="508"/>
      <c r="AG95" s="508"/>
      <c r="AH95" s="548"/>
    </row>
    <row r="96" spans="9:34" ht="12.6" customHeight="1" x14ac:dyDescent="0.2">
      <c r="J96" s="495"/>
      <c r="K96" s="510"/>
      <c r="L96" s="510"/>
      <c r="M96" s="631"/>
      <c r="N96" s="631"/>
      <c r="O96" s="631"/>
      <c r="P96" s="631"/>
      <c r="R96" s="581"/>
      <c r="S96" s="581"/>
      <c r="T96" s="581"/>
      <c r="V96" s="716"/>
      <c r="W96" s="552"/>
      <c r="X96" s="597" t="str">
        <f ca="1">'Chart Parameters'!N243</f>
        <v/>
      </c>
      <c r="Y96" s="508"/>
      <c r="Z96" s="508"/>
      <c r="AA96" s="508"/>
      <c r="AB96" s="597" t="str">
        <f ca="1">'Chart Parameters'!J279</f>
        <v/>
      </c>
      <c r="AC96" s="508"/>
      <c r="AD96" s="508"/>
      <c r="AE96" s="597"/>
      <c r="AF96" s="508"/>
      <c r="AG96" s="508"/>
      <c r="AH96" s="548"/>
    </row>
    <row r="97" spans="10:34" ht="12.6" customHeight="1" x14ac:dyDescent="0.2">
      <c r="J97" s="495"/>
      <c r="K97" s="510"/>
      <c r="L97" s="510"/>
      <c r="M97" s="631"/>
      <c r="N97" s="631"/>
      <c r="O97" s="631"/>
      <c r="P97" s="631"/>
      <c r="R97" s="581"/>
      <c r="S97" s="581"/>
      <c r="T97" s="581"/>
      <c r="V97" s="716"/>
      <c r="W97" s="552"/>
      <c r="X97" s="597" t="str">
        <f ca="1">'Chart Parameters'!N244</f>
        <v/>
      </c>
      <c r="Y97" s="508"/>
      <c r="Z97" s="508"/>
      <c r="AA97" s="508"/>
      <c r="AB97" s="597" t="str">
        <f ca="1">'Chart Parameters'!J280</f>
        <v/>
      </c>
      <c r="AC97" s="508"/>
      <c r="AD97" s="508"/>
      <c r="AE97" s="597"/>
      <c r="AF97" s="508"/>
      <c r="AG97" s="508"/>
      <c r="AH97" s="548"/>
    </row>
    <row r="98" spans="10:34" ht="12.6" customHeight="1" x14ac:dyDescent="0.2">
      <c r="J98" s="495"/>
      <c r="K98" s="510"/>
      <c r="L98" s="510"/>
      <c r="M98" s="631"/>
      <c r="N98" s="631"/>
      <c r="O98" s="631"/>
      <c r="P98" s="631"/>
      <c r="R98" s="581"/>
      <c r="S98" s="581"/>
      <c r="T98" s="581"/>
      <c r="V98" s="716"/>
      <c r="W98" s="552"/>
      <c r="X98" s="597" t="str">
        <f ca="1">'Chart Parameters'!N245</f>
        <v/>
      </c>
      <c r="Y98" s="508"/>
      <c r="Z98" s="508"/>
      <c r="AA98" s="508"/>
      <c r="AB98" s="597" t="str">
        <f ca="1">'Chart Parameters'!J281</f>
        <v/>
      </c>
      <c r="AC98" s="508"/>
      <c r="AD98" s="508"/>
      <c r="AE98" s="597"/>
      <c r="AF98" s="508"/>
      <c r="AG98" s="508"/>
      <c r="AH98" s="548"/>
    </row>
    <row r="99" spans="10:34" ht="12.6" customHeight="1" x14ac:dyDescent="0.2">
      <c r="J99" s="495"/>
      <c r="K99" s="510"/>
      <c r="L99" s="510"/>
      <c r="M99" s="631"/>
      <c r="N99" s="631"/>
      <c r="O99" s="631"/>
      <c r="P99" s="631"/>
      <c r="R99" s="581"/>
      <c r="S99" s="581"/>
      <c r="T99" s="581"/>
      <c r="V99" s="716"/>
      <c r="W99" s="552"/>
      <c r="X99" s="597" t="str">
        <f ca="1">'Chart Parameters'!N246</f>
        <v/>
      </c>
      <c r="Y99" s="508"/>
      <c r="Z99" s="508"/>
      <c r="AA99" s="508"/>
      <c r="AB99" s="597" t="str">
        <f ca="1">'Chart Parameters'!J282</f>
        <v/>
      </c>
      <c r="AC99" s="508"/>
      <c r="AD99" s="508"/>
      <c r="AE99" s="597"/>
      <c r="AF99" s="508"/>
      <c r="AG99" s="508"/>
      <c r="AH99" s="548"/>
    </row>
    <row r="100" spans="10:34" ht="12.6" customHeight="1" x14ac:dyDescent="0.2">
      <c r="J100" s="495"/>
      <c r="K100" s="510"/>
      <c r="L100" s="510"/>
      <c r="M100" s="631"/>
      <c r="N100" s="631"/>
      <c r="O100" s="631"/>
      <c r="P100" s="631"/>
      <c r="R100" s="581"/>
      <c r="S100" s="581"/>
      <c r="T100" s="581"/>
      <c r="V100" s="716"/>
      <c r="W100" s="552"/>
      <c r="X100" s="597" t="str">
        <f ca="1">'Chart Parameters'!N247</f>
        <v/>
      </c>
      <c r="Y100" s="508"/>
      <c r="Z100" s="508"/>
      <c r="AA100" s="508"/>
      <c r="AB100" s="597" t="str">
        <f ca="1">'Chart Parameters'!J283</f>
        <v/>
      </c>
      <c r="AC100" s="508"/>
      <c r="AD100" s="508"/>
      <c r="AE100" s="597"/>
      <c r="AF100" s="508"/>
      <c r="AG100" s="508"/>
      <c r="AH100" s="548"/>
    </row>
    <row r="101" spans="10:34" ht="12.6" customHeight="1" x14ac:dyDescent="0.2">
      <c r="J101" s="495"/>
      <c r="K101" s="510"/>
      <c r="L101" s="510"/>
      <c r="M101" s="631"/>
      <c r="N101" s="631"/>
      <c r="O101" s="631"/>
      <c r="P101" s="631"/>
      <c r="R101" s="581"/>
      <c r="S101" s="581"/>
      <c r="T101" s="581"/>
      <c r="V101" s="716"/>
      <c r="W101" s="552"/>
      <c r="X101" s="597" t="str">
        <f ca="1">'Chart Parameters'!N248</f>
        <v/>
      </c>
      <c r="Y101" s="508"/>
      <c r="Z101" s="508"/>
      <c r="AA101" s="508"/>
      <c r="AB101" s="597" t="str">
        <f ca="1">'Chart Parameters'!J284</f>
        <v/>
      </c>
      <c r="AC101" s="508"/>
      <c r="AD101" s="508"/>
      <c r="AE101" s="597"/>
      <c r="AF101" s="508"/>
      <c r="AG101" s="508"/>
      <c r="AH101" s="548"/>
    </row>
    <row r="102" spans="10:34" ht="12.6" customHeight="1" x14ac:dyDescent="0.2">
      <c r="J102" s="495"/>
      <c r="K102" s="510"/>
      <c r="L102" s="510"/>
      <c r="M102" s="631"/>
      <c r="N102" s="631"/>
      <c r="O102" s="631"/>
      <c r="P102" s="631"/>
      <c r="R102" s="581"/>
      <c r="S102" s="581"/>
      <c r="T102" s="581"/>
      <c r="V102" s="716"/>
      <c r="W102" s="552"/>
      <c r="X102" s="597" t="str">
        <f ca="1">'Chart Parameters'!N249</f>
        <v/>
      </c>
      <c r="Y102" s="508"/>
      <c r="Z102" s="508"/>
      <c r="AA102" s="508"/>
      <c r="AB102" s="597" t="str">
        <f ca="1">'Chart Parameters'!J285</f>
        <v/>
      </c>
      <c r="AC102" s="508"/>
      <c r="AD102" s="508"/>
      <c r="AE102" s="597"/>
      <c r="AF102" s="508"/>
      <c r="AG102" s="508"/>
      <c r="AH102" s="548"/>
    </row>
    <row r="103" spans="10:34" ht="12.6" customHeight="1" x14ac:dyDescent="0.2">
      <c r="J103" s="495"/>
      <c r="K103" s="510"/>
      <c r="L103" s="510"/>
      <c r="M103" s="631"/>
      <c r="N103" s="631"/>
      <c r="O103" s="631"/>
      <c r="P103" s="631"/>
      <c r="R103" s="581"/>
      <c r="S103" s="581"/>
      <c r="T103" s="581"/>
      <c r="V103" s="716"/>
      <c r="W103" s="552"/>
      <c r="X103" s="597" t="str">
        <f ca="1">'Chart Parameters'!N250</f>
        <v/>
      </c>
      <c r="Y103" s="508"/>
      <c r="Z103" s="508"/>
      <c r="AA103" s="508"/>
      <c r="AB103" s="597" t="str">
        <f ca="1">'Chart Parameters'!J286</f>
        <v/>
      </c>
      <c r="AC103" s="508"/>
      <c r="AD103" s="508"/>
      <c r="AE103" s="597"/>
      <c r="AF103" s="508"/>
      <c r="AG103" s="508"/>
      <c r="AH103" s="548"/>
    </row>
    <row r="104" spans="10:34" ht="12.6" customHeight="1" x14ac:dyDescent="0.2">
      <c r="J104" s="495"/>
      <c r="K104" s="510"/>
      <c r="L104" s="510"/>
      <c r="M104" s="631"/>
      <c r="N104" s="631"/>
      <c r="O104" s="631"/>
      <c r="P104" s="631"/>
      <c r="R104" s="581"/>
      <c r="S104" s="581"/>
      <c r="T104" s="581"/>
      <c r="V104" s="716"/>
      <c r="W104" s="552"/>
      <c r="X104" s="597" t="str">
        <f ca="1">'Chart Parameters'!N251</f>
        <v/>
      </c>
      <c r="Y104" s="508"/>
      <c r="Z104" s="508"/>
      <c r="AA104" s="508"/>
      <c r="AB104" s="597" t="str">
        <f ca="1">'Chart Parameters'!J287</f>
        <v/>
      </c>
      <c r="AC104" s="508"/>
      <c r="AD104" s="508"/>
      <c r="AE104" s="597"/>
      <c r="AF104" s="508"/>
      <c r="AG104" s="508"/>
      <c r="AH104" s="548"/>
    </row>
    <row r="105" spans="10:34" ht="12.6" customHeight="1" x14ac:dyDescent="0.2">
      <c r="J105" s="495"/>
      <c r="K105" s="510"/>
      <c r="L105" s="510"/>
      <c r="M105" s="631"/>
      <c r="N105" s="631"/>
      <c r="O105" s="631"/>
      <c r="P105" s="631"/>
      <c r="R105" s="581"/>
      <c r="S105" s="581"/>
      <c r="T105" s="581"/>
      <c r="V105" s="716"/>
      <c r="W105" s="552"/>
      <c r="X105" s="597" t="str">
        <f ca="1">'Chart Parameters'!N252</f>
        <v/>
      </c>
      <c r="Y105" s="508"/>
      <c r="Z105" s="508"/>
      <c r="AA105" s="508"/>
      <c r="AB105" s="597" t="str">
        <f ca="1">'Chart Parameters'!J288</f>
        <v/>
      </c>
      <c r="AC105" s="508"/>
      <c r="AD105" s="508"/>
      <c r="AE105" s="597"/>
      <c r="AF105" s="508"/>
      <c r="AG105" s="508"/>
      <c r="AH105" s="548"/>
    </row>
    <row r="106" spans="10:34" ht="12.6" customHeight="1" x14ac:dyDescent="0.2">
      <c r="J106" s="495"/>
      <c r="K106" s="510"/>
      <c r="L106" s="510"/>
      <c r="M106" s="631"/>
      <c r="N106" s="631"/>
      <c r="O106" s="631"/>
      <c r="P106" s="631"/>
      <c r="R106" s="581"/>
      <c r="S106" s="581"/>
      <c r="T106" s="581"/>
      <c r="V106" s="716"/>
      <c r="W106" s="552"/>
      <c r="X106" s="597" t="str">
        <f ca="1">'Chart Parameters'!N253</f>
        <v/>
      </c>
      <c r="Y106" s="508"/>
      <c r="Z106" s="508"/>
      <c r="AA106" s="508"/>
      <c r="AB106" s="597" t="str">
        <f ca="1">'Chart Parameters'!J289</f>
        <v/>
      </c>
      <c r="AC106" s="508"/>
      <c r="AD106" s="508"/>
      <c r="AE106" s="597"/>
      <c r="AF106" s="508"/>
      <c r="AG106" s="508"/>
      <c r="AH106" s="548"/>
    </row>
    <row r="107" spans="10:34" ht="12.6" customHeight="1" x14ac:dyDescent="0.2">
      <c r="J107" s="495"/>
      <c r="K107" s="510"/>
      <c r="L107" s="510"/>
      <c r="M107" s="631"/>
      <c r="N107" s="631"/>
      <c r="O107" s="631"/>
      <c r="P107" s="631"/>
      <c r="R107" s="581"/>
      <c r="S107" s="581"/>
      <c r="T107" s="581"/>
      <c r="V107" s="716"/>
      <c r="W107" s="552"/>
      <c r="X107" s="597" t="str">
        <f ca="1">'Chart Parameters'!N254</f>
        <v/>
      </c>
      <c r="Y107" s="508"/>
      <c r="Z107" s="508"/>
      <c r="AA107" s="508"/>
      <c r="AB107" s="597" t="str">
        <f ca="1">'Chart Parameters'!J290</f>
        <v/>
      </c>
      <c r="AC107" s="508"/>
      <c r="AD107" s="508"/>
      <c r="AE107" s="508"/>
      <c r="AF107" s="508"/>
      <c r="AG107" s="508"/>
      <c r="AH107" s="548"/>
    </row>
    <row r="108" spans="10:34" ht="12.6" customHeight="1" x14ac:dyDescent="0.2">
      <c r="J108" s="495"/>
      <c r="K108" s="510"/>
      <c r="L108" s="510"/>
      <c r="M108" s="631"/>
      <c r="N108" s="631"/>
      <c r="O108" s="631"/>
      <c r="P108" s="631"/>
      <c r="R108" s="581"/>
      <c r="S108" s="581"/>
      <c r="T108" s="581"/>
      <c r="V108" s="716"/>
      <c r="W108" s="552"/>
      <c r="X108" s="597" t="str">
        <f ca="1">'Chart Parameters'!N255</f>
        <v/>
      </c>
      <c r="Y108" s="508"/>
      <c r="Z108" s="508"/>
      <c r="AA108" s="508"/>
      <c r="AB108" s="597" t="str">
        <f ca="1">'Chart Parameters'!J291</f>
        <v/>
      </c>
      <c r="AC108" s="508"/>
      <c r="AD108" s="508"/>
      <c r="AE108" s="508"/>
      <c r="AF108" s="508"/>
      <c r="AG108" s="508"/>
      <c r="AH108" s="548"/>
    </row>
    <row r="109" spans="10:34" ht="12.6" customHeight="1" thickBot="1" x14ac:dyDescent="0.25">
      <c r="J109" s="495"/>
      <c r="K109" s="510"/>
      <c r="L109" s="510"/>
      <c r="M109" s="631"/>
      <c r="N109" s="631"/>
      <c r="O109" s="631"/>
      <c r="P109" s="631"/>
      <c r="R109" s="581"/>
      <c r="S109" s="581"/>
      <c r="T109" s="581"/>
      <c r="V109" s="718"/>
      <c r="W109" s="617"/>
      <c r="X109" s="632" t="str">
        <f ca="1">'Chart Parameters'!N256</f>
        <v/>
      </c>
      <c r="Y109" s="632"/>
      <c r="Z109" s="618"/>
      <c r="AA109" s="618"/>
      <c r="AB109" s="632" t="str">
        <f ca="1">'Chart Parameters'!J292</f>
        <v/>
      </c>
      <c r="AC109" s="618"/>
      <c r="AD109" s="618"/>
      <c r="AE109" s="618"/>
      <c r="AF109" s="618"/>
      <c r="AG109" s="618"/>
      <c r="AH109" s="619"/>
    </row>
    <row r="110" spans="10:34" ht="12.6" customHeight="1" x14ac:dyDescent="0.2">
      <c r="J110" s="495"/>
      <c r="K110" s="510"/>
      <c r="L110" s="510"/>
      <c r="M110" s="631"/>
      <c r="N110" s="631"/>
      <c r="O110" s="631"/>
      <c r="P110" s="631"/>
      <c r="R110" s="581"/>
      <c r="S110" s="581"/>
      <c r="T110" s="581"/>
      <c r="V110" s="633"/>
      <c r="W110" s="597" t="str">
        <f ca="1">'Chart Parameters'!N257</f>
        <v/>
      </c>
      <c r="X110" s="597" t="str">
        <f ca="1">'Chart Parameters'!J293</f>
        <v/>
      </c>
      <c r="Y110" s="629"/>
      <c r="Z110" s="508"/>
    </row>
    <row r="111" spans="10:34" ht="12.6" hidden="1" customHeight="1" x14ac:dyDescent="0.2">
      <c r="J111" s="495"/>
      <c r="K111" s="510"/>
      <c r="L111" s="510"/>
      <c r="M111" s="631"/>
      <c r="N111" s="631"/>
      <c r="O111" s="631"/>
      <c r="P111" s="631"/>
      <c r="R111" s="581"/>
      <c r="S111" s="581"/>
      <c r="T111" s="581"/>
      <c r="V111" s="508"/>
      <c r="W111" s="634"/>
      <c r="X111" s="515"/>
      <c r="Y111" s="508"/>
      <c r="Z111" s="508"/>
    </row>
    <row r="112" spans="10:34" ht="12.6" hidden="1" customHeight="1" x14ac:dyDescent="0.2">
      <c r="J112" s="495"/>
      <c r="K112" s="510"/>
      <c r="L112" s="510"/>
      <c r="M112" s="631"/>
      <c r="N112" s="631"/>
      <c r="O112" s="631"/>
      <c r="P112" s="631"/>
      <c r="R112" s="581"/>
      <c r="S112" s="581"/>
      <c r="T112" s="581"/>
    </row>
    <row r="113" spans="10:22" ht="12.6" hidden="1" customHeight="1" x14ac:dyDescent="0.2">
      <c r="J113" s="495"/>
      <c r="K113" s="510"/>
      <c r="L113" s="510"/>
      <c r="M113" s="631"/>
      <c r="N113" s="631"/>
      <c r="O113" s="631"/>
      <c r="P113" s="631"/>
      <c r="R113" s="581"/>
      <c r="S113" s="581"/>
      <c r="T113" s="581"/>
      <c r="V113" s="655"/>
    </row>
    <row r="114" spans="10:22" ht="12.6" hidden="1" customHeight="1" x14ac:dyDescent="0.2">
      <c r="J114" s="495"/>
      <c r="K114" s="510"/>
      <c r="L114" s="510"/>
      <c r="M114" s="631"/>
      <c r="N114" s="631"/>
      <c r="O114" s="631"/>
      <c r="P114" s="631"/>
      <c r="R114" s="581"/>
      <c r="S114" s="581"/>
      <c r="T114" s="581"/>
    </row>
    <row r="115" spans="10:22" ht="12.6" hidden="1" customHeight="1" x14ac:dyDescent="0.2">
      <c r="J115" s="495"/>
      <c r="K115" s="510"/>
      <c r="L115" s="510"/>
      <c r="M115" s="631"/>
      <c r="N115" s="631"/>
      <c r="O115" s="631"/>
      <c r="P115" s="631"/>
      <c r="R115" s="581"/>
      <c r="S115" s="581"/>
      <c r="T115" s="581"/>
    </row>
    <row r="116" spans="10:22" ht="12.6" hidden="1" customHeight="1" x14ac:dyDescent="0.2">
      <c r="J116" s="495"/>
      <c r="K116" s="510"/>
      <c r="L116" s="510"/>
      <c r="M116" s="631"/>
      <c r="N116" s="631"/>
      <c r="O116" s="631"/>
      <c r="P116" s="631"/>
      <c r="R116" s="581"/>
      <c r="S116" s="581"/>
      <c r="T116" s="581"/>
    </row>
    <row r="117" spans="10:22" ht="12.6" hidden="1" customHeight="1" x14ac:dyDescent="0.2">
      <c r="J117" s="495"/>
      <c r="K117" s="510"/>
      <c r="L117" s="510"/>
      <c r="M117" s="631"/>
      <c r="N117" s="631"/>
      <c r="O117" s="631"/>
      <c r="P117" s="631"/>
      <c r="R117" s="581"/>
      <c r="S117" s="581"/>
      <c r="T117" s="581"/>
    </row>
    <row r="118" spans="10:22" ht="12.6" hidden="1" customHeight="1" x14ac:dyDescent="0.2">
      <c r="J118" s="495"/>
      <c r="K118" s="510"/>
      <c r="L118" s="510"/>
      <c r="M118" s="631"/>
      <c r="N118" s="631"/>
      <c r="O118" s="631"/>
      <c r="P118" s="631"/>
      <c r="R118" s="581"/>
      <c r="S118" s="581"/>
      <c r="T118" s="581"/>
    </row>
    <row r="119" spans="10:22" hidden="1" x14ac:dyDescent="0.2">
      <c r="T119" s="581"/>
    </row>
    <row r="120" spans="10:22" hidden="1" x14ac:dyDescent="0.2">
      <c r="T120" s="581"/>
    </row>
    <row r="121" spans="10:22" hidden="1" x14ac:dyDescent="0.2"/>
    <row r="122" spans="10:22" hidden="1" x14ac:dyDescent="0.2"/>
    <row r="123" spans="10:22" hidden="1" x14ac:dyDescent="0.2"/>
    <row r="124" spans="10:22" hidden="1" x14ac:dyDescent="0.2"/>
    <row r="125" spans="10:22" hidden="1" x14ac:dyDescent="0.2"/>
    <row r="126" spans="10:22" hidden="1" x14ac:dyDescent="0.2"/>
    <row r="127" spans="10:22" hidden="1" x14ac:dyDescent="0.2"/>
    <row r="128" spans="10:22" hidden="1" x14ac:dyDescent="0.2"/>
    <row r="129" spans="11:20" hidden="1" x14ac:dyDescent="0.2"/>
    <row r="130" spans="11:20" hidden="1" x14ac:dyDescent="0.2"/>
    <row r="131" spans="11:20" hidden="1" x14ac:dyDescent="0.2"/>
    <row r="132" spans="11:20" hidden="1" x14ac:dyDescent="0.2">
      <c r="K132" s="635"/>
      <c r="L132" s="566"/>
      <c r="M132" s="567"/>
      <c r="N132" s="568"/>
      <c r="O132" s="532"/>
      <c r="P132" s="532"/>
    </row>
    <row r="133" spans="11:20" hidden="1" x14ac:dyDescent="0.2">
      <c r="K133" s="547"/>
      <c r="L133" s="547"/>
      <c r="M133" s="567"/>
      <c r="N133" s="568"/>
      <c r="O133" s="532"/>
      <c r="P133" s="532"/>
    </row>
    <row r="134" spans="11:20" hidden="1" x14ac:dyDescent="0.2">
      <c r="N134" s="568"/>
      <c r="O134" s="532"/>
      <c r="P134" s="532"/>
    </row>
    <row r="135" spans="11:20" hidden="1" x14ac:dyDescent="0.2">
      <c r="N135" s="568"/>
      <c r="O135" s="532"/>
      <c r="P135" s="532"/>
    </row>
    <row r="136" spans="11:20" hidden="1" x14ac:dyDescent="0.2">
      <c r="N136" s="568"/>
      <c r="O136" s="532"/>
      <c r="P136" s="532"/>
    </row>
    <row r="137" spans="11:20" hidden="1" x14ac:dyDescent="0.2">
      <c r="N137" s="568"/>
      <c r="O137" s="532"/>
      <c r="P137" s="532"/>
      <c r="Q137" s="636"/>
      <c r="R137" s="636"/>
      <c r="S137" s="636"/>
    </row>
    <row r="138" spans="11:20" hidden="1" x14ac:dyDescent="0.2"/>
    <row r="139" spans="11:20" hidden="1" x14ac:dyDescent="0.2">
      <c r="N139" s="597"/>
      <c r="O139" s="597"/>
      <c r="P139" s="597"/>
      <c r="T139" s="636"/>
    </row>
    <row r="140" spans="11:20" hidden="1" x14ac:dyDescent="0.2">
      <c r="N140" s="571"/>
      <c r="O140" s="571"/>
      <c r="P140" s="571"/>
    </row>
    <row r="141" spans="11:20" hidden="1" x14ac:dyDescent="0.2">
      <c r="N141" s="510"/>
      <c r="O141" s="510"/>
      <c r="P141" s="510"/>
    </row>
    <row r="142" spans="11:20" hidden="1" x14ac:dyDescent="0.2"/>
    <row r="143" spans="11:20" hidden="1" x14ac:dyDescent="0.2">
      <c r="K143" s="569"/>
      <c r="L143" s="569"/>
      <c r="M143" s="569"/>
      <c r="N143" s="569"/>
      <c r="O143" s="569"/>
      <c r="P143" s="569"/>
    </row>
    <row r="144" spans="11:20" hidden="1" x14ac:dyDescent="0.2">
      <c r="K144" s="569"/>
      <c r="L144" s="569"/>
      <c r="M144" s="569"/>
      <c r="N144" s="569"/>
      <c r="O144" s="569"/>
      <c r="P144" s="569"/>
    </row>
    <row r="145" spans="11:16" hidden="1" x14ac:dyDescent="0.2">
      <c r="K145" s="569"/>
      <c r="L145" s="569"/>
      <c r="M145" s="569"/>
      <c r="N145" s="569"/>
      <c r="O145" s="569"/>
      <c r="P145" s="569"/>
    </row>
    <row r="146" spans="11:16" hidden="1" x14ac:dyDescent="0.2">
      <c r="K146" s="569"/>
      <c r="L146" s="569"/>
      <c r="M146" s="569"/>
      <c r="N146" s="569"/>
      <c r="O146" s="569"/>
      <c r="P146" s="569"/>
    </row>
    <row r="147" spans="11:16" hidden="1" x14ac:dyDescent="0.2">
      <c r="K147" s="569"/>
      <c r="L147" s="569"/>
      <c r="M147" s="569"/>
      <c r="N147" s="569"/>
      <c r="O147" s="569"/>
      <c r="P147" s="569"/>
    </row>
    <row r="148" spans="11:16" hidden="1" x14ac:dyDescent="0.2">
      <c r="K148" s="569"/>
      <c r="L148" s="569"/>
      <c r="M148" s="569"/>
      <c r="N148" s="569"/>
      <c r="O148" s="569"/>
      <c r="P148" s="569"/>
    </row>
    <row r="149" spans="11:16" hidden="1" x14ac:dyDescent="0.2">
      <c r="K149" s="569"/>
      <c r="L149" s="569"/>
      <c r="M149" s="569"/>
      <c r="N149" s="569"/>
      <c r="O149" s="569"/>
      <c r="P149" s="569"/>
    </row>
    <row r="150" spans="11:16" hidden="1" x14ac:dyDescent="0.2">
      <c r="K150" s="569"/>
      <c r="L150" s="569"/>
      <c r="M150" s="569"/>
      <c r="N150" s="569"/>
      <c r="O150" s="569"/>
      <c r="P150" s="569"/>
    </row>
    <row r="151" spans="11:16" hidden="1" x14ac:dyDescent="0.2">
      <c r="K151" s="569"/>
      <c r="L151" s="569"/>
      <c r="M151" s="569"/>
      <c r="N151" s="569"/>
      <c r="O151" s="569"/>
      <c r="P151" s="569"/>
    </row>
    <row r="152" spans="11:16" hidden="1" x14ac:dyDescent="0.2">
      <c r="K152" s="510"/>
      <c r="L152" s="510"/>
      <c r="M152" s="510"/>
      <c r="N152" s="510"/>
      <c r="O152" s="510"/>
      <c r="P152" s="510"/>
    </row>
    <row r="153" spans="11:16" hidden="1" x14ac:dyDescent="0.2"/>
    <row r="154" spans="11:16" hidden="1" x14ac:dyDescent="0.2"/>
    <row r="155" spans="11:16" hidden="1" x14ac:dyDescent="0.2"/>
    <row r="156" spans="11:16" hidden="1" x14ac:dyDescent="0.2">
      <c r="K156" s="569"/>
      <c r="L156" s="569"/>
      <c r="M156" s="569"/>
      <c r="N156" s="569"/>
      <c r="O156" s="569"/>
      <c r="P156" s="569"/>
    </row>
  </sheetData>
  <sheetProtection algorithmName="SHA-512" hashValue="y1oDvPR+OeXthLOmevJcX2T45Fm+/0gGf0yb+4xrvjy4870j3XAF1LFvwiaO2nZfogPZupWxsdz2X0bNf3IStg==" saltValue="RypgOie6fd+I8vDwQxFq5g==" spinCount="100000" sheet="1" objects="1" scenarios="1" selectLockedCells="1"/>
  <mergeCells count="52">
    <mergeCell ref="AN21:AO21"/>
    <mergeCell ref="AN24:AO24"/>
    <mergeCell ref="AN25:AO25"/>
    <mergeCell ref="AN26:AO26"/>
    <mergeCell ref="AN27:AO27"/>
    <mergeCell ref="AJ21:AK21"/>
    <mergeCell ref="AJ24:AK24"/>
    <mergeCell ref="AJ25:AK25"/>
    <mergeCell ref="AJ26:AK26"/>
    <mergeCell ref="AJ27:AK27"/>
    <mergeCell ref="AF21:AG21"/>
    <mergeCell ref="AF24:AG24"/>
    <mergeCell ref="AF25:AG25"/>
    <mergeCell ref="AF26:AG26"/>
    <mergeCell ref="AF27:AG27"/>
    <mergeCell ref="B18:E18"/>
    <mergeCell ref="N28:P28"/>
    <mergeCell ref="N29:P29"/>
    <mergeCell ref="K31:P31"/>
    <mergeCell ref="M3:P3"/>
    <mergeCell ref="D4:E4"/>
    <mergeCell ref="B6:E6"/>
    <mergeCell ref="B15:E15"/>
    <mergeCell ref="B28:E28"/>
    <mergeCell ref="B44:E44"/>
    <mergeCell ref="B59:E59"/>
    <mergeCell ref="B38:E38"/>
    <mergeCell ref="O32:P32"/>
    <mergeCell ref="K37:K38"/>
    <mergeCell ref="N37:P37"/>
    <mergeCell ref="N38:P38"/>
    <mergeCell ref="M88:O88"/>
    <mergeCell ref="O35:P35"/>
    <mergeCell ref="N36:P36"/>
    <mergeCell ref="AA78:AC78"/>
    <mergeCell ref="O34:P34"/>
    <mergeCell ref="AA75:AC75"/>
    <mergeCell ref="AA76:AC76"/>
    <mergeCell ref="AA73:AB73"/>
    <mergeCell ref="AA74:AB74"/>
    <mergeCell ref="AA71:AB71"/>
    <mergeCell ref="X27:Y27"/>
    <mergeCell ref="X2:AA3"/>
    <mergeCell ref="AB21:AC21"/>
    <mergeCell ref="AB24:AC24"/>
    <mergeCell ref="AB25:AC25"/>
    <mergeCell ref="AB26:AC26"/>
    <mergeCell ref="X21:Y21"/>
    <mergeCell ref="X24:Y24"/>
    <mergeCell ref="X25:Y25"/>
    <mergeCell ref="X26:Y26"/>
    <mergeCell ref="AB27:AC27"/>
  </mergeCells>
  <conditionalFormatting sqref="M32">
    <cfRule type="colorScale" priority="181">
      <colorScale>
        <cfvo type="num" val="3.5"/>
        <cfvo type="percentile" val="50"/>
        <cfvo type="num" val="6"/>
        <color theme="9" tint="0.79998168889431442"/>
        <color rgb="FFFFEB84"/>
        <color rgb="FFFF0000"/>
      </colorScale>
    </cfRule>
  </conditionalFormatting>
  <conditionalFormatting sqref="L19">
    <cfRule type="expression" dxfId="84" priority="180">
      <formula>$L$19=0</formula>
    </cfRule>
  </conditionalFormatting>
  <conditionalFormatting sqref="M33">
    <cfRule type="colorScale" priority="179">
      <colorScale>
        <cfvo type="num" val="$D$47"/>
        <cfvo type="percentile" val="50"/>
        <cfvo type="num" val="12"/>
        <color theme="9" tint="0.79998168889431442"/>
        <color rgb="FFFFEB84"/>
        <color rgb="FFFF0000"/>
      </colorScale>
    </cfRule>
  </conditionalFormatting>
  <conditionalFormatting sqref="B28 B29:E41 J31 I69:I86 J94:J118 I15 B27:H27 B18:E26 G18:H26 I21:I26 B8:H17 W45:Y47 W62:Y65 W49:Y49 W48 Y48 W52:Y60 W50 Y50">
    <cfRule type="expression" dxfId="83" priority="182" stopIfTrue="1">
      <formula>#REF!&gt;#REF!</formula>
    </cfRule>
  </conditionalFormatting>
  <conditionalFormatting sqref="L38">
    <cfRule type="expression" dxfId="82" priority="183">
      <formula>#REF!=0</formula>
    </cfRule>
  </conditionalFormatting>
  <conditionalFormatting sqref="B59">
    <cfRule type="expression" dxfId="81" priority="178" stopIfTrue="1">
      <formula>#REF!&gt;#REF!</formula>
    </cfRule>
  </conditionalFormatting>
  <conditionalFormatting sqref="W48 Y48">
    <cfRule type="expression" dxfId="80" priority="173" stopIfTrue="1">
      <formula>#REF!&gt;#REF!</formula>
    </cfRule>
  </conditionalFormatting>
  <conditionalFormatting sqref="AA52:AC54 AA62:AC65 AA59:AC60 AA58 AA56:AC57 AA55 AC55">
    <cfRule type="expression" dxfId="79" priority="132" stopIfTrue="1">
      <formula>#REF!&gt;#REF!</formula>
    </cfRule>
  </conditionalFormatting>
  <conditionalFormatting sqref="AE52:AG54 AE62:AG65 AE59:AG60 AE58 AE56:AG57 AE55 AG55">
    <cfRule type="expression" dxfId="78" priority="130" stopIfTrue="1">
      <formula>#REF!&gt;#REF!</formula>
    </cfRule>
  </conditionalFormatting>
  <conditionalFormatting sqref="AJ62:AK65">
    <cfRule type="expression" dxfId="77" priority="128" stopIfTrue="1">
      <formula>#REF!&gt;#REF!</formula>
    </cfRule>
  </conditionalFormatting>
  <conditionalFormatting sqref="AA45:AC47 AA49:AC49 AA48 AC48 AA50 AC50">
    <cfRule type="expression" dxfId="76" priority="108" stopIfTrue="1">
      <formula>#REF!&gt;#REF!</formula>
    </cfRule>
  </conditionalFormatting>
  <conditionalFormatting sqref="AA48 AC48">
    <cfRule type="expression" dxfId="75" priority="107" stopIfTrue="1">
      <formula>#REF!&gt;#REF!</formula>
    </cfRule>
  </conditionalFormatting>
  <conditionalFormatting sqref="AE45:AG47 AE49:AG49 AE48 AG48 AE50 AG50">
    <cfRule type="expression" dxfId="74" priority="106" stopIfTrue="1">
      <formula>#REF!&gt;#REF!</formula>
    </cfRule>
  </conditionalFormatting>
  <conditionalFormatting sqref="AE48 AG48">
    <cfRule type="expression" dxfId="73" priority="105" stopIfTrue="1">
      <formula>#REF!&gt;#REF!</formula>
    </cfRule>
  </conditionalFormatting>
  <conditionalFormatting sqref="AK48">
    <cfRule type="expression" dxfId="72" priority="98" stopIfTrue="1">
      <formula>#REF!&gt;#REF!</formula>
    </cfRule>
  </conditionalFormatting>
  <conditionalFormatting sqref="AI45:AI50">
    <cfRule type="expression" dxfId="71" priority="90" stopIfTrue="1">
      <formula>#REF!&gt;#REF!</formula>
    </cfRule>
  </conditionalFormatting>
  <conditionalFormatting sqref="AJ45:AK47 AJ49:AK49 AK48 AK50">
    <cfRule type="expression" dxfId="70" priority="99" stopIfTrue="1">
      <formula>#REF!&gt;#REF!</formula>
    </cfRule>
  </conditionalFormatting>
  <conditionalFormatting sqref="AN62:AO65">
    <cfRule type="expression" dxfId="69" priority="88" stopIfTrue="1">
      <formula>#REF!&gt;#REF!</formula>
    </cfRule>
  </conditionalFormatting>
  <conditionalFormatting sqref="AJ51:AK54 AJ59:AK60 AJ56:AK57 AK55">
    <cfRule type="expression" dxfId="68" priority="100" stopIfTrue="1">
      <formula>#REF!&gt;#REF!</formula>
    </cfRule>
  </conditionalFormatting>
  <conditionalFormatting sqref="AI48">
    <cfRule type="expression" dxfId="67" priority="89" stopIfTrue="1">
      <formula>#REF!&gt;#REF!</formula>
    </cfRule>
  </conditionalFormatting>
  <conditionalFormatting sqref="AI51:AI60 AI62:AI65">
    <cfRule type="expression" dxfId="66" priority="91" stopIfTrue="1">
      <formula>#REF!&gt;#REF!</formula>
    </cfRule>
  </conditionalFormatting>
  <conditionalFormatting sqref="AN48:AO48">
    <cfRule type="expression" dxfId="65" priority="85" stopIfTrue="1">
      <formula>#REF!&gt;#REF!</formula>
    </cfRule>
  </conditionalFormatting>
  <conditionalFormatting sqref="AN45:AO49 AO50">
    <cfRule type="expression" dxfId="64" priority="86" stopIfTrue="1">
      <formula>#REF!&gt;#REF!</formula>
    </cfRule>
  </conditionalFormatting>
  <conditionalFormatting sqref="AN52:AO54 AN59:AO60 AO51 AN56:AO57 AO55">
    <cfRule type="expression" dxfId="63" priority="87" stopIfTrue="1">
      <formula>#REF!&gt;#REF!</formula>
    </cfRule>
  </conditionalFormatting>
  <conditionalFormatting sqref="AM51:AM60 AM62:AM65">
    <cfRule type="expression" dxfId="62" priority="84" stopIfTrue="1">
      <formula>#REF!&gt;#REF!</formula>
    </cfRule>
  </conditionalFormatting>
  <conditionalFormatting sqref="AM45:AM50">
    <cfRule type="expression" dxfId="61" priority="83" stopIfTrue="1">
      <formula>#REF!&gt;#REF!</formula>
    </cfRule>
  </conditionalFormatting>
  <conditionalFormatting sqref="AM48">
    <cfRule type="expression" dxfId="60" priority="82" stopIfTrue="1">
      <formula>#REF!&gt;#REF!</formula>
    </cfRule>
  </conditionalFormatting>
  <conditionalFormatting sqref="AB58:AC58">
    <cfRule type="expression" dxfId="59" priority="65" stopIfTrue="1">
      <formula>#REF!&gt;#REF!</formula>
    </cfRule>
  </conditionalFormatting>
  <conditionalFormatting sqref="AF58:AG58">
    <cfRule type="expression" dxfId="58" priority="64" stopIfTrue="1">
      <formula>#REF!&gt;#REF!</formula>
    </cfRule>
  </conditionalFormatting>
  <conditionalFormatting sqref="AJ58:AK58">
    <cfRule type="expression" dxfId="57" priority="63" stopIfTrue="1">
      <formula>#REF!&gt;#REF!</formula>
    </cfRule>
  </conditionalFormatting>
  <conditionalFormatting sqref="AN58:AO58">
    <cfRule type="expression" dxfId="56" priority="62" stopIfTrue="1">
      <formula>#REF!&gt;#REF!</formula>
    </cfRule>
  </conditionalFormatting>
  <conditionalFormatting sqref="AN50">
    <cfRule type="expression" dxfId="55" priority="58" stopIfTrue="1">
      <formula>#REF!&gt;#REF!</formula>
    </cfRule>
  </conditionalFormatting>
  <conditionalFormatting sqref="AJ50">
    <cfRule type="expression" dxfId="54" priority="57" stopIfTrue="1">
      <formula>#REF!&gt;#REF!</formula>
    </cfRule>
  </conditionalFormatting>
  <conditionalFormatting sqref="AF50">
    <cfRule type="expression" dxfId="53" priority="56" stopIfTrue="1">
      <formula>#REF!&gt;#REF!</formula>
    </cfRule>
  </conditionalFormatting>
  <conditionalFormatting sqref="AB50">
    <cfRule type="expression" dxfId="52" priority="55" stopIfTrue="1">
      <formula>#REF!&gt;#REF!</formula>
    </cfRule>
  </conditionalFormatting>
  <conditionalFormatting sqref="X50">
    <cfRule type="expression" dxfId="51" priority="54" stopIfTrue="1">
      <formula>#REF!&gt;#REF!</formula>
    </cfRule>
  </conditionalFormatting>
  <conditionalFormatting sqref="AJ48">
    <cfRule type="expression" dxfId="50" priority="52" stopIfTrue="1">
      <formula>#REF!&gt;#REF!</formula>
    </cfRule>
  </conditionalFormatting>
  <conditionalFormatting sqref="AJ48">
    <cfRule type="expression" dxfId="49" priority="53" stopIfTrue="1">
      <formula>#REF!&gt;#REF!</formula>
    </cfRule>
  </conditionalFormatting>
  <conditionalFormatting sqref="AF48">
    <cfRule type="expression" dxfId="48" priority="50" stopIfTrue="1">
      <formula>#REF!&gt;#REF!</formula>
    </cfRule>
  </conditionalFormatting>
  <conditionalFormatting sqref="AF48">
    <cfRule type="expression" dxfId="47" priority="51" stopIfTrue="1">
      <formula>#REF!&gt;#REF!</formula>
    </cfRule>
  </conditionalFormatting>
  <conditionalFormatting sqref="AB48">
    <cfRule type="expression" dxfId="46" priority="48" stopIfTrue="1">
      <formula>#REF!&gt;#REF!</formula>
    </cfRule>
  </conditionalFormatting>
  <conditionalFormatting sqref="AB48">
    <cfRule type="expression" dxfId="45" priority="49" stopIfTrue="1">
      <formula>#REF!&gt;#REF!</formula>
    </cfRule>
  </conditionalFormatting>
  <conditionalFormatting sqref="X48">
    <cfRule type="expression" dxfId="44" priority="46" stopIfTrue="1">
      <formula>#REF!&gt;#REF!</formula>
    </cfRule>
  </conditionalFormatting>
  <conditionalFormatting sqref="X48">
    <cfRule type="expression" dxfId="43" priority="47" stopIfTrue="1">
      <formula>#REF!&gt;#REF!</formula>
    </cfRule>
  </conditionalFormatting>
  <conditionalFormatting sqref="AN51">
    <cfRule type="expression" dxfId="42" priority="45" stopIfTrue="1">
      <formula>#REF!&gt;#REF!</formula>
    </cfRule>
  </conditionalFormatting>
  <conditionalFormatting sqref="AG51">
    <cfRule type="expression" dxfId="41" priority="44" stopIfTrue="1">
      <formula>#REF!&gt;#REF!</formula>
    </cfRule>
  </conditionalFormatting>
  <conditionalFormatting sqref="AE51">
    <cfRule type="expression" dxfId="40" priority="43" stopIfTrue="1">
      <formula>#REF!&gt;#REF!</formula>
    </cfRule>
  </conditionalFormatting>
  <conditionalFormatting sqref="AF51">
    <cfRule type="expression" dxfId="39" priority="42" stopIfTrue="1">
      <formula>#REF!&gt;#REF!</formula>
    </cfRule>
  </conditionalFormatting>
  <conditionalFormatting sqref="AC51">
    <cfRule type="expression" dxfId="38" priority="41" stopIfTrue="1">
      <formula>#REF!&gt;#REF!</formula>
    </cfRule>
  </conditionalFormatting>
  <conditionalFormatting sqref="AA51">
    <cfRule type="expression" dxfId="37" priority="40" stopIfTrue="1">
      <formula>#REF!&gt;#REF!</formula>
    </cfRule>
  </conditionalFormatting>
  <conditionalFormatting sqref="AB51">
    <cfRule type="expression" dxfId="36" priority="39" stopIfTrue="1">
      <formula>#REF!&gt;#REF!</formula>
    </cfRule>
  </conditionalFormatting>
  <conditionalFormatting sqref="Y51">
    <cfRule type="expression" dxfId="35" priority="38" stopIfTrue="1">
      <formula>#REF!&gt;#REF!</formula>
    </cfRule>
  </conditionalFormatting>
  <conditionalFormatting sqref="W51">
    <cfRule type="expression" dxfId="34" priority="37" stopIfTrue="1">
      <formula>#REF!&gt;#REF!</formula>
    </cfRule>
  </conditionalFormatting>
  <conditionalFormatting sqref="X51">
    <cfRule type="expression" dxfId="33" priority="36" stopIfTrue="1">
      <formula>#REF!&gt;#REF!</formula>
    </cfRule>
  </conditionalFormatting>
  <conditionalFormatting sqref="AN55">
    <cfRule type="expression" dxfId="32" priority="29" stopIfTrue="1">
      <formula>#REF!&gt;#REF!</formula>
    </cfRule>
  </conditionalFormatting>
  <conditionalFormatting sqref="AB55">
    <cfRule type="expression" dxfId="31" priority="32" stopIfTrue="1">
      <formula>#REF!&gt;#REF!</formula>
    </cfRule>
  </conditionalFormatting>
  <conditionalFormatting sqref="AF55">
    <cfRule type="expression" dxfId="30" priority="31" stopIfTrue="1">
      <formula>#REF!&gt;#REF!</formula>
    </cfRule>
  </conditionalFormatting>
  <conditionalFormatting sqref="AJ55">
    <cfRule type="expression" dxfId="29" priority="30" stopIfTrue="1">
      <formula>#REF!&gt;#REF!</formula>
    </cfRule>
  </conditionalFormatting>
  <conditionalFormatting sqref="AF75">
    <cfRule type="expression" dxfId="28" priority="184">
      <formula>ISNUMBER(FIND(INDEX(Language_Base,MATCH(AA75,Language_Translated,0)),"Custom"))</formula>
    </cfRule>
  </conditionalFormatting>
  <conditionalFormatting sqref="AF76">
    <cfRule type="expression" dxfId="27" priority="185">
      <formula>ISNUMBER(FIND("Custom",$X$25))</formula>
    </cfRule>
  </conditionalFormatting>
  <conditionalFormatting sqref="AF73:AF74">
    <cfRule type="expression" dxfId="26" priority="186">
      <formula>ISNUMBER(FIND(INDEX(Language_Base,MATCH($AA$72,Language_Translated,0)),"Custom"))</formula>
    </cfRule>
  </conditionalFormatting>
  <conditionalFormatting sqref="AN29:AN31 AJ29:AJ31 AF29:AF31 AB29:AB31 X29:X31">
    <cfRule type="expression" dxfId="25" priority="187">
      <formula>X$19=0</formula>
    </cfRule>
  </conditionalFormatting>
  <conditionalFormatting sqref="AA73:AC74">
    <cfRule type="expression" dxfId="24" priority="22">
      <formula>OR(ISERROR(AA73),ISNUMBER(FIND(INDEX(Language_Base,MATCH($AA$72,Language_Translated,0)),"Custom")))</formula>
    </cfRule>
  </conditionalFormatting>
  <conditionalFormatting sqref="AD75:AD76">
    <cfRule type="expression" dxfId="23" priority="18">
      <formula>ISNUMBER(FIND(INDEX(Language_Base,MATCH(AA75,Language_Translated,0)),"Custom"))</formula>
    </cfRule>
  </conditionalFormatting>
  <conditionalFormatting sqref="AD73:AD74">
    <cfRule type="expression" dxfId="22" priority="17">
      <formula>ISNUMBER(FIND(INDEX(Language_Base,MATCH($AA$72,Language_Translated,0)),"Custom"))</formula>
    </cfRule>
  </conditionalFormatting>
  <conditionalFormatting sqref="AA76:AC76">
    <cfRule type="expression" dxfId="21" priority="14">
      <formula>NOT(ISNUMBER(MATCH(AA76,ballast_dropdown,0)))</formula>
    </cfRule>
  </conditionalFormatting>
  <conditionalFormatting sqref="AA76:AC76">
    <cfRule type="expression" dxfId="20" priority="10">
      <formula>NOT(ISNUMBER(MATCH(AA76,fabric_dropdown,0)))</formula>
    </cfRule>
  </conditionalFormatting>
  <dataValidations disablePrompts="1" count="9">
    <dataValidation type="list" allowBlank="1" showInputMessage="1" showErrorMessage="1" sqref="L21" xr:uid="{143F94B3-C098-405D-899A-78D8D1EA68DB}">
      <formula1>control_select_bracket</formula1>
    </dataValidation>
    <dataValidation type="list" allowBlank="1" showInputMessage="1" showErrorMessage="1" sqref="L21" xr:uid="{8BA6A9AC-95AC-495C-9710-D16BF6DF48B9}">
      <formula1>bkt_select</formula1>
    </dataValidation>
    <dataValidation type="list" allowBlank="1" showInputMessage="1" showErrorMessage="1" sqref="L20" xr:uid="{8FCF3C15-C0C0-442F-9CAC-B84C0A713B10}">
      <formula1>control_select_tube</formula1>
    </dataValidation>
    <dataValidation type="list" allowBlank="1" showInputMessage="1" showErrorMessage="1" sqref="L15" xr:uid="{F182FE3C-88C7-42DB-90DD-1942B41D0887}">
      <formula1>weight_bar_list</formula1>
    </dataValidation>
    <dataValidation type="list" allowBlank="1" showInputMessage="1" showErrorMessage="1" sqref="L17 AA77:AC77" xr:uid="{7E18E67C-8B57-4218-8B57-6FD352477943}">
      <formula1>pwa_list</formula1>
    </dataValidation>
    <dataValidation type="list" allowBlank="1" showInputMessage="1" showErrorMessage="1" sqref="L16" xr:uid="{29944945-25FC-4CDD-BA63-CC51BEC4EE53}">
      <formula1>ballast_list</formula1>
    </dataValidation>
    <dataValidation type="list" allowBlank="1" showInputMessage="1" showErrorMessage="1" sqref="L18" xr:uid="{DDAB499F-360B-44B5-BFCE-DD99DBF1B1CA}">
      <formula1>control_type</formula1>
    </dataValidation>
    <dataValidation type="list" allowBlank="1" showInputMessage="1" showErrorMessage="1" sqref="AF2" xr:uid="{13CF2776-F593-4E1C-8B4A-8953F108955F}">
      <formula1>Languages_ForSelection</formula1>
    </dataValidation>
    <dataValidation type="whole" allowBlank="1" showInputMessage="1" showErrorMessage="1" sqref="L22" xr:uid="{EC35DF9A-73EF-46F2-B2D8-086524502FEF}">
      <formula1>1</formula1>
      <formula2>3</formula2>
    </dataValidation>
  </dataValidations>
  <pageMargins left="0.7" right="0.7" top="0.75" bottom="0.75" header="0.3" footer="0.3"/>
  <pageSetup paperSize="9" scale="31" orientation="portrait" horizontalDpi="1200" verticalDpi="1200" r:id="rId1"/>
  <ignoredErrors>
    <ignoredError sqref="AC82" formula="1"/>
    <ignoredError sqref="Z73:Z7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>
                <anchor moveWithCells="1" sizeWithCells="1">
                  <from>
                    <xdr:col>11</xdr:col>
                    <xdr:colOff>9525</xdr:colOff>
                    <xdr:row>38</xdr:row>
                    <xdr:rowOff>142875</xdr:rowOff>
                  </from>
                  <to>
                    <xdr:col>11</xdr:col>
                    <xdr:colOff>2943225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5" name="Drop Down 5">
              <controlPr defaultSize="0" autoLine="0" autoPict="0">
                <anchor moveWithCells="1">
                  <from>
                    <xdr:col>26</xdr:col>
                    <xdr:colOff>0</xdr:colOff>
                    <xdr:row>74</xdr:row>
                    <xdr:rowOff>0</xdr:rowOff>
                  </from>
                  <to>
                    <xdr:col>29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6" name="Drop Down 6">
              <controlPr defaultSize="0" autoLine="0" autoPict="0">
                <anchor moveWithCells="1">
                  <from>
                    <xdr:col>26</xdr:col>
                    <xdr:colOff>0</xdr:colOff>
                    <xdr:row>75</xdr:row>
                    <xdr:rowOff>0</xdr:rowOff>
                  </from>
                  <to>
                    <xdr:col>29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7" name="Drop Down 7">
              <controlPr defaultSize="0" autoLine="0" autoPict="0">
                <anchor moveWithCells="1">
                  <from>
                    <xdr:col>25</xdr:col>
                    <xdr:colOff>152400</xdr:colOff>
                    <xdr:row>77</xdr:row>
                    <xdr:rowOff>0</xdr:rowOff>
                  </from>
                  <to>
                    <xdr:col>29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8" name="Drop Down 10">
              <controlPr defaultSize="0" autoLine="0" autoPict="0">
                <anchor moveWithCells="1">
                  <from>
                    <xdr:col>26</xdr:col>
                    <xdr:colOff>0</xdr:colOff>
                    <xdr:row>71</xdr:row>
                    <xdr:rowOff>9525</xdr:rowOff>
                  </from>
                  <to>
                    <xdr:col>29</xdr:col>
                    <xdr:colOff>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9" name="Drop Down 14">
              <controlPr defaultSize="0" autoLine="0" autoPict="0">
                <anchor moveWithCells="1">
                  <from>
                    <xdr:col>26</xdr:col>
                    <xdr:colOff>0</xdr:colOff>
                    <xdr:row>75</xdr:row>
                    <xdr:rowOff>219075</xdr:rowOff>
                  </from>
                  <to>
                    <xdr:col>29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8" id="{86BD1A95-FB78-401C-86E7-B3B61ADADA8B}">
            <xm:f>$AF$3='Chart Parameters'!$H$19</xm:f>
            <x14:dxf>
              <numFmt numFmtId="1" formatCode="0"/>
            </x14:dxf>
          </x14:cfRule>
          <xm:sqref>X31 AB31 AF31 AJ31 AN31 AN33 AJ33 AF33 AB33</xm:sqref>
        </x14:conditionalFormatting>
        <x14:conditionalFormatting xmlns:xm="http://schemas.microsoft.com/office/excel/2006/main">
          <x14:cfRule type="expression" priority="5" id="{F085A830-FCC9-446D-9600-6A49B6D91A00}">
            <xm:f>$AF$3='Chart Parameters'!$H$19</xm:f>
            <x14:dxf>
              <numFmt numFmtId="1" formatCode="0"/>
            </x14:dxf>
          </x14:cfRule>
          <xm:sqref>AD83</xm:sqref>
        </x14:conditionalFormatting>
        <x14:conditionalFormatting xmlns:xm="http://schemas.microsoft.com/office/excel/2006/main">
          <x14:cfRule type="expression" priority="4" id="{86FE3078-F352-4FFA-98DB-BA0CB1D031B3}">
            <xm:f>$AF$3='Chart Parameters'!$H$19</xm:f>
            <x14:dxf>
              <numFmt numFmtId="164" formatCode="0.0"/>
            </x14:dxf>
          </x14:cfRule>
          <xm:sqref>X19 X30 AB30 AB19 AF19 AF30 AJ19 AJ30 AN19 AN30 AA71</xm:sqref>
        </x14:conditionalFormatting>
        <x14:conditionalFormatting xmlns:xm="http://schemas.microsoft.com/office/excel/2006/main">
          <x14:cfRule type="expression" priority="3" id="{8CB08BA7-A5E2-44FC-BAE8-2503D406D04B}">
            <xm:f>$AF$3='Chart Parameters'!$H$19</xm:f>
            <x14:dxf>
              <numFmt numFmtId="1" formatCode="0"/>
            </x14:dxf>
          </x14:cfRule>
          <xm:sqref>X29 AB29 AF29 AJ29 AN29 AA82</xm:sqref>
        </x14:conditionalFormatting>
        <x14:conditionalFormatting xmlns:xm="http://schemas.microsoft.com/office/excel/2006/main">
          <x14:cfRule type="expression" priority="2" id="{78F2148E-16C0-4649-AEBF-E441903880DF}">
            <xm:f>$AF$3='Chart Parameters'!$H$19</xm:f>
            <x14:dxf>
              <numFmt numFmtId="164" formatCode="0.0"/>
            </x14:dxf>
          </x14:cfRule>
          <xm:sqref>AA73 AF73</xm:sqref>
        </x14:conditionalFormatting>
        <x14:conditionalFormatting xmlns:xm="http://schemas.microsoft.com/office/excel/2006/main">
          <x14:cfRule type="expression" priority="1" id="{7A49FD1E-5F53-45D5-8D0B-E8E647A2D9BA}">
            <xm:f>$AF$3='Chart Parameters'!$H$19</xm:f>
            <x14:dxf>
              <numFmt numFmtId="2" formatCode="0.00"/>
            </x14:dxf>
          </x14:cfRule>
          <xm:sqref>AA74 AF74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A1342F75-B5D9-4693-8B60-CE9BB29FCA29}">
          <x14:formula1>
            <xm:f>'Chart Parameters'!$H$19:$H$20</xm:f>
          </x14:formula1>
          <xm:sqref>AF3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C6829-494D-42E4-B34C-F06526EA83B2}">
  <sheetPr codeName="Sheet2"/>
  <dimension ref="A1:K38"/>
  <sheetViews>
    <sheetView workbookViewId="0">
      <selection activeCell="D5" sqref="D5"/>
    </sheetView>
  </sheetViews>
  <sheetFormatPr defaultRowHeight="15" x14ac:dyDescent="0.25"/>
  <cols>
    <col min="2" max="2" width="9.85546875" customWidth="1"/>
    <col min="3" max="3" width="10.42578125" customWidth="1"/>
    <col min="4" max="4" width="125" customWidth="1"/>
    <col min="5" max="5" width="2.140625" customWidth="1"/>
    <col min="6" max="6" width="22.5703125" customWidth="1"/>
    <col min="7" max="7" width="13.42578125" bestFit="1" customWidth="1"/>
  </cols>
  <sheetData>
    <row r="1" spans="1:5" x14ac:dyDescent="0.25">
      <c r="A1" s="751" t="s">
        <v>914</v>
      </c>
      <c r="B1" s="751" t="s">
        <v>917</v>
      </c>
      <c r="C1" s="751" t="s">
        <v>915</v>
      </c>
      <c r="D1" s="6" t="s">
        <v>916</v>
      </c>
      <c r="E1" s="409"/>
    </row>
    <row r="2" spans="1:5" x14ac:dyDescent="0.25">
      <c r="A2" s="752">
        <v>1.4</v>
      </c>
      <c r="B2" s="469" t="s">
        <v>918</v>
      </c>
      <c r="C2" s="753">
        <v>43304</v>
      </c>
      <c r="D2" s="6" t="s">
        <v>919</v>
      </c>
      <c r="E2" s="409"/>
    </row>
    <row r="3" spans="1:5" x14ac:dyDescent="0.25">
      <c r="A3" s="752" t="s">
        <v>920</v>
      </c>
      <c r="B3" s="469" t="s">
        <v>918</v>
      </c>
      <c r="C3" s="753">
        <v>43305</v>
      </c>
      <c r="D3" s="6" t="s">
        <v>937</v>
      </c>
      <c r="E3" s="409"/>
    </row>
    <row r="4" spans="1:5" x14ac:dyDescent="0.25">
      <c r="A4" s="752" t="s">
        <v>938</v>
      </c>
      <c r="B4" s="469" t="s">
        <v>918</v>
      </c>
      <c r="C4" s="753">
        <v>43311</v>
      </c>
      <c r="D4" s="6" t="s">
        <v>939</v>
      </c>
      <c r="E4" s="409"/>
    </row>
    <row r="5" spans="1:5" ht="30" x14ac:dyDescent="0.25">
      <c r="A5" s="752" t="s">
        <v>943</v>
      </c>
      <c r="B5" s="469" t="s">
        <v>918</v>
      </c>
      <c r="C5" s="753">
        <v>43315</v>
      </c>
      <c r="D5" s="759" t="s">
        <v>944</v>
      </c>
      <c r="E5" s="409"/>
    </row>
    <row r="6" spans="1:5" x14ac:dyDescent="0.25">
      <c r="A6" s="752"/>
      <c r="B6" s="469"/>
      <c r="C6" s="469"/>
      <c r="D6" s="6"/>
      <c r="E6" s="409"/>
    </row>
    <row r="7" spans="1:5" x14ac:dyDescent="0.25">
      <c r="A7" s="752"/>
      <c r="B7" s="469"/>
      <c r="C7" s="469"/>
      <c r="D7" s="6"/>
      <c r="E7" s="409"/>
    </row>
    <row r="8" spans="1:5" x14ac:dyDescent="0.25">
      <c r="A8" s="752"/>
      <c r="B8" s="469"/>
      <c r="C8" s="469"/>
      <c r="D8" s="6"/>
      <c r="E8" s="409"/>
    </row>
    <row r="9" spans="1:5" x14ac:dyDescent="0.25">
      <c r="A9" s="752"/>
      <c r="B9" s="469"/>
      <c r="C9" s="469"/>
      <c r="D9" s="6"/>
      <c r="E9" s="409"/>
    </row>
    <row r="10" spans="1:5" x14ac:dyDescent="0.25">
      <c r="A10" s="752"/>
      <c r="B10" s="469"/>
      <c r="C10" s="469"/>
      <c r="D10" s="6"/>
      <c r="E10" s="409"/>
    </row>
    <row r="11" spans="1:5" x14ac:dyDescent="0.25">
      <c r="A11" s="752"/>
      <c r="B11" s="469"/>
      <c r="C11" s="469"/>
      <c r="D11" s="6"/>
      <c r="E11" s="409"/>
    </row>
    <row r="12" spans="1:5" x14ac:dyDescent="0.25">
      <c r="A12" s="752"/>
      <c r="B12" s="469"/>
      <c r="C12" s="469"/>
      <c r="D12" s="6"/>
      <c r="E12" s="409"/>
    </row>
    <row r="13" spans="1:5" x14ac:dyDescent="0.25">
      <c r="A13" s="752"/>
      <c r="B13" s="469"/>
      <c r="C13" s="469"/>
      <c r="D13" s="6"/>
      <c r="E13" s="409"/>
    </row>
    <row r="14" spans="1:5" x14ac:dyDescent="0.25">
      <c r="A14" s="752"/>
      <c r="B14" s="469"/>
      <c r="C14" s="469"/>
      <c r="D14" s="6"/>
      <c r="E14" s="409"/>
    </row>
    <row r="15" spans="1:5" x14ac:dyDescent="0.25">
      <c r="A15" s="752"/>
      <c r="B15" s="469"/>
      <c r="C15" s="469"/>
      <c r="D15" s="6"/>
      <c r="E15" s="409"/>
    </row>
    <row r="16" spans="1:5" x14ac:dyDescent="0.25">
      <c r="A16" s="752"/>
      <c r="B16" s="469"/>
      <c r="C16" s="469"/>
      <c r="D16" s="6"/>
      <c r="E16" s="409"/>
    </row>
    <row r="17" spans="1:11" x14ac:dyDescent="0.25">
      <c r="A17" s="752"/>
      <c r="B17" s="469"/>
      <c r="C17" s="469"/>
      <c r="D17" s="6"/>
      <c r="E17" s="409"/>
    </row>
    <row r="24" spans="1:11" x14ac:dyDescent="0.25">
      <c r="F24" s="163" t="s">
        <v>921</v>
      </c>
    </row>
    <row r="25" spans="1:11" x14ac:dyDescent="0.25">
      <c r="F25" t="s">
        <v>914</v>
      </c>
      <c r="G25">
        <v>1.5</v>
      </c>
    </row>
    <row r="26" spans="1:11" x14ac:dyDescent="0.25">
      <c r="F26" s="6" t="s">
        <v>936</v>
      </c>
      <c r="G26" s="6"/>
      <c r="H26" s="757" t="s">
        <v>923</v>
      </c>
      <c r="I26" s="757"/>
      <c r="J26" s="757" t="s">
        <v>928</v>
      </c>
      <c r="K26" s="757"/>
    </row>
    <row r="27" spans="1:11" x14ac:dyDescent="0.25">
      <c r="F27" s="179" t="s">
        <v>931</v>
      </c>
      <c r="G27" s="6" t="s">
        <v>922</v>
      </c>
      <c r="H27" s="6" t="s">
        <v>924</v>
      </c>
      <c r="I27" s="6">
        <v>1</v>
      </c>
      <c r="J27" s="6" t="s">
        <v>28</v>
      </c>
      <c r="K27" s="6">
        <v>0</v>
      </c>
    </row>
    <row r="28" spans="1:11" x14ac:dyDescent="0.25">
      <c r="F28" s="179" t="s">
        <v>932</v>
      </c>
      <c r="G28" s="6" t="s">
        <v>627</v>
      </c>
      <c r="H28" s="6" t="s">
        <v>925</v>
      </c>
      <c r="I28" s="6">
        <v>0</v>
      </c>
      <c r="J28" s="6" t="s">
        <v>248</v>
      </c>
      <c r="K28" s="6">
        <v>1</v>
      </c>
    </row>
    <row r="29" spans="1:11" x14ac:dyDescent="0.25">
      <c r="F29" s="179" t="s">
        <v>933</v>
      </c>
      <c r="G29" s="6" t="s">
        <v>864</v>
      </c>
      <c r="H29" s="6" t="s">
        <v>926</v>
      </c>
      <c r="I29" s="6">
        <v>0</v>
      </c>
      <c r="J29" s="6" t="s">
        <v>220</v>
      </c>
      <c r="K29" s="6">
        <v>1</v>
      </c>
    </row>
    <row r="30" spans="1:11" x14ac:dyDescent="0.25">
      <c r="F30" s="179" t="s">
        <v>935</v>
      </c>
      <c r="G30" s="6" t="s">
        <v>366</v>
      </c>
      <c r="H30" s="6" t="s">
        <v>927</v>
      </c>
      <c r="I30" s="6">
        <v>1</v>
      </c>
      <c r="J30" s="6" t="s">
        <v>235</v>
      </c>
      <c r="K30" s="6">
        <v>0</v>
      </c>
    </row>
    <row r="31" spans="1:11" x14ac:dyDescent="0.25">
      <c r="F31" s="179" t="s">
        <v>934</v>
      </c>
      <c r="G31" s="6" t="s">
        <v>323</v>
      </c>
      <c r="H31" s="6" t="s">
        <v>924</v>
      </c>
      <c r="I31" s="6">
        <v>2</v>
      </c>
      <c r="J31" s="6" t="s">
        <v>28</v>
      </c>
      <c r="K31" s="6">
        <v>1</v>
      </c>
    </row>
    <row r="32" spans="1:11" x14ac:dyDescent="0.25">
      <c r="F32" s="756" t="s">
        <v>139</v>
      </c>
      <c r="G32" s="6" t="s">
        <v>929</v>
      </c>
      <c r="H32" s="6" t="s">
        <v>930</v>
      </c>
      <c r="I32" s="6">
        <v>2</v>
      </c>
      <c r="J32" s="6" t="s">
        <v>263</v>
      </c>
      <c r="K32" s="6">
        <v>2</v>
      </c>
    </row>
    <row r="34" spans="6:9" x14ac:dyDescent="0.25">
      <c r="F34" s="492" t="s">
        <v>332</v>
      </c>
      <c r="G34" s="492" t="s">
        <v>262</v>
      </c>
      <c r="H34" s="492">
        <f>0.4535924/0.9144</f>
        <v>0.49605468066491692</v>
      </c>
      <c r="I34" s="492" t="s">
        <v>263</v>
      </c>
    </row>
    <row r="35" spans="6:9" x14ac:dyDescent="0.25">
      <c r="F35" s="492" t="s">
        <v>333</v>
      </c>
      <c r="G35" s="492" t="s">
        <v>262</v>
      </c>
      <c r="H35" s="492">
        <v>25.4</v>
      </c>
      <c r="I35" s="492" t="s">
        <v>28</v>
      </c>
    </row>
    <row r="36" spans="6:9" x14ac:dyDescent="0.25">
      <c r="F36" s="492" t="s">
        <v>334</v>
      </c>
      <c r="G36" s="492" t="s">
        <v>262</v>
      </c>
      <c r="H36" s="492">
        <f>0.4535924</f>
        <v>0.45359240000000001</v>
      </c>
      <c r="I36" s="492" t="s">
        <v>248</v>
      </c>
    </row>
    <row r="37" spans="6:9" x14ac:dyDescent="0.25">
      <c r="F37" s="492" t="s">
        <v>335</v>
      </c>
      <c r="G37" s="492" t="s">
        <v>262</v>
      </c>
      <c r="H37" s="492">
        <f>28.34952/0.8361274</f>
        <v>33.905742115376199</v>
      </c>
      <c r="I37" s="492" t="s">
        <v>235</v>
      </c>
    </row>
    <row r="38" spans="6:9" x14ac:dyDescent="0.25">
      <c r="F38" s="492" t="s">
        <v>620</v>
      </c>
      <c r="G38" s="492" t="s">
        <v>262</v>
      </c>
      <c r="H38" s="492">
        <v>0.1129848</v>
      </c>
      <c r="I38" s="492" t="s">
        <v>220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FD712-5B69-4506-B7FC-CC3745748131}">
  <sheetPr codeName="Sheet3"/>
  <dimension ref="D3:AG39"/>
  <sheetViews>
    <sheetView zoomScale="70" zoomScaleNormal="70" workbookViewId="0">
      <selection activeCell="AF32" sqref="AF32"/>
    </sheetView>
  </sheetViews>
  <sheetFormatPr defaultRowHeight="15" x14ac:dyDescent="0.25"/>
  <cols>
    <col min="8" max="8" width="9.140625" customWidth="1"/>
  </cols>
  <sheetData>
    <row r="3" spans="7:13" x14ac:dyDescent="0.25">
      <c r="K3" s="160" t="s">
        <v>221</v>
      </c>
      <c r="L3">
        <v>9.81</v>
      </c>
      <c r="M3" t="s">
        <v>222</v>
      </c>
    </row>
    <row r="4" spans="7:13" x14ac:dyDescent="0.25">
      <c r="G4" s="161"/>
      <c r="K4" s="160" t="s">
        <v>223</v>
      </c>
      <c r="L4" s="162">
        <v>0.1</v>
      </c>
    </row>
    <row r="29" spans="4:33" s="163" customFormat="1" ht="18.75" x14ac:dyDescent="0.3">
      <c r="E29" s="163" t="s">
        <v>224</v>
      </c>
      <c r="H29" s="163" t="s">
        <v>225</v>
      </c>
      <c r="K29" s="163" t="s">
        <v>226</v>
      </c>
      <c r="N29" s="163" t="s">
        <v>227</v>
      </c>
      <c r="R29" s="163" t="s">
        <v>228</v>
      </c>
      <c r="T29" s="163" t="s">
        <v>229</v>
      </c>
      <c r="X29" s="163" t="s">
        <v>230</v>
      </c>
      <c r="Z29" s="163" t="s">
        <v>231</v>
      </c>
      <c r="AD29" s="163" t="s">
        <v>232</v>
      </c>
      <c r="AF29" s="164" t="s">
        <v>233</v>
      </c>
    </row>
    <row r="31" spans="4:33" x14ac:dyDescent="0.25">
      <c r="D31" s="160" t="s">
        <v>234</v>
      </c>
      <c r="E31" s="165">
        <v>701.85</v>
      </c>
      <c r="F31" t="s">
        <v>235</v>
      </c>
      <c r="H31" t="s">
        <v>236</v>
      </c>
      <c r="K31" s="160" t="s">
        <v>234</v>
      </c>
      <c r="L31" s="165">
        <v>701.85</v>
      </c>
      <c r="M31" t="s">
        <v>235</v>
      </c>
      <c r="N31" t="s">
        <v>237</v>
      </c>
      <c r="Q31" s="160" t="s">
        <v>234</v>
      </c>
      <c r="R31" s="165">
        <v>701.85</v>
      </c>
      <c r="S31" t="s">
        <v>235</v>
      </c>
      <c r="T31" t="s">
        <v>238</v>
      </c>
      <c r="W31" s="160" t="s">
        <v>234</v>
      </c>
      <c r="X31" s="165">
        <v>701.85</v>
      </c>
      <c r="Y31" t="s">
        <v>235</v>
      </c>
      <c r="Z31" s="163" t="s">
        <v>239</v>
      </c>
      <c r="AC31" s="160" t="s">
        <v>234</v>
      </c>
      <c r="AD31" s="165">
        <v>701.85</v>
      </c>
      <c r="AE31" t="s">
        <v>235</v>
      </c>
      <c r="AF31" s="163" t="s">
        <v>240</v>
      </c>
    </row>
    <row r="32" spans="4:33" x14ac:dyDescent="0.25">
      <c r="D32" s="160" t="s">
        <v>241</v>
      </c>
      <c r="E32" s="165">
        <v>372</v>
      </c>
      <c r="F32" t="s">
        <v>242</v>
      </c>
      <c r="H32" s="166">
        <f>E39</f>
        <v>0.98507214571500012</v>
      </c>
      <c r="I32" t="s">
        <v>220</v>
      </c>
      <c r="K32" s="160" t="s">
        <v>241</v>
      </c>
      <c r="L32" s="165">
        <v>372</v>
      </c>
      <c r="M32" t="s">
        <v>242</v>
      </c>
      <c r="N32" s="166">
        <f>H32*(1+$L$4)+L39</f>
        <v>2.0686515060015003</v>
      </c>
      <c r="O32" t="s">
        <v>220</v>
      </c>
      <c r="Q32" s="160" t="s">
        <v>241</v>
      </c>
      <c r="R32" s="165">
        <v>372</v>
      </c>
      <c r="S32" t="s">
        <v>242</v>
      </c>
      <c r="T32" s="166">
        <f>N32*(1+$L$4)+R39</f>
        <v>3.2605888023166507</v>
      </c>
      <c r="U32" t="s">
        <v>220</v>
      </c>
      <c r="W32" s="160" t="s">
        <v>241</v>
      </c>
      <c r="X32" s="165">
        <v>372</v>
      </c>
      <c r="Y32" t="s">
        <v>242</v>
      </c>
      <c r="Z32" s="167">
        <f>T32*(1+$L$4)+X39</f>
        <v>4.5717198282633165</v>
      </c>
      <c r="AA32" t="s">
        <v>220</v>
      </c>
      <c r="AC32" s="160" t="s">
        <v>241</v>
      </c>
      <c r="AD32" s="165">
        <v>372</v>
      </c>
      <c r="AE32" t="s">
        <v>242</v>
      </c>
      <c r="AF32" s="167">
        <f>Z32*(1+$L$4)+AD39</f>
        <v>6.0139639568046483</v>
      </c>
      <c r="AG32" t="s">
        <v>220</v>
      </c>
    </row>
    <row r="33" spans="4:33" x14ac:dyDescent="0.25">
      <c r="D33" s="160" t="s">
        <v>243</v>
      </c>
      <c r="E33" s="165">
        <v>38.6</v>
      </c>
      <c r="F33" t="s">
        <v>28</v>
      </c>
      <c r="K33" s="160" t="s">
        <v>243</v>
      </c>
      <c r="L33" s="165">
        <v>38.6</v>
      </c>
      <c r="M33" t="s">
        <v>28</v>
      </c>
      <c r="Q33" s="160" t="s">
        <v>243</v>
      </c>
      <c r="R33" s="165">
        <v>38.6</v>
      </c>
      <c r="S33" t="s">
        <v>28</v>
      </c>
      <c r="W33" s="160" t="s">
        <v>243</v>
      </c>
      <c r="X33" s="165">
        <v>38.6</v>
      </c>
      <c r="Y33" t="s">
        <v>28</v>
      </c>
      <c r="AC33" s="160" t="s">
        <v>243</v>
      </c>
      <c r="AD33" s="165">
        <v>38.6</v>
      </c>
      <c r="AE33" t="s">
        <v>28</v>
      </c>
    </row>
    <row r="34" spans="4:33" x14ac:dyDescent="0.25">
      <c r="D34" s="160" t="s">
        <v>244</v>
      </c>
      <c r="E34" s="165">
        <v>2.1</v>
      </c>
      <c r="F34" t="s">
        <v>245</v>
      </c>
      <c r="K34" s="160" t="s">
        <v>244</v>
      </c>
      <c r="L34" s="165">
        <v>2.1</v>
      </c>
      <c r="M34" t="s">
        <v>245</v>
      </c>
      <c r="Q34" s="160" t="s">
        <v>244</v>
      </c>
      <c r="R34" s="165">
        <v>2.1</v>
      </c>
      <c r="S34" t="s">
        <v>245</v>
      </c>
      <c r="W34" s="160" t="s">
        <v>244</v>
      </c>
      <c r="X34" s="165">
        <v>2.1</v>
      </c>
      <c r="Y34" t="s">
        <v>245</v>
      </c>
      <c r="AC34" s="160" t="s">
        <v>244</v>
      </c>
      <c r="AD34" s="165">
        <v>2.1</v>
      </c>
      <c r="AE34" t="s">
        <v>245</v>
      </c>
    </row>
    <row r="35" spans="4:33" x14ac:dyDescent="0.25">
      <c r="D35" s="160" t="s">
        <v>246</v>
      </c>
      <c r="E35" s="165">
        <v>3</v>
      </c>
      <c r="F35" t="s">
        <v>245</v>
      </c>
      <c r="K35" s="160" t="s">
        <v>246</v>
      </c>
      <c r="L35" s="165">
        <v>3</v>
      </c>
      <c r="M35" t="s">
        <v>245</v>
      </c>
      <c r="Q35" s="160" t="s">
        <v>246</v>
      </c>
      <c r="R35" s="165">
        <v>3</v>
      </c>
      <c r="S35" t="s">
        <v>245</v>
      </c>
      <c r="W35" s="160" t="s">
        <v>246</v>
      </c>
      <c r="X35" s="165">
        <v>3</v>
      </c>
      <c r="Y35" t="s">
        <v>245</v>
      </c>
      <c r="AC35" s="160" t="s">
        <v>246</v>
      </c>
      <c r="AD35" s="165">
        <v>3</v>
      </c>
      <c r="AE35" t="s">
        <v>245</v>
      </c>
    </row>
    <row r="37" spans="4:33" x14ac:dyDescent="0.25">
      <c r="D37" s="160" t="s">
        <v>247</v>
      </c>
      <c r="E37" s="168">
        <f>((E31/1000)*(E34*E35)+(E32/1000)*E34)</f>
        <v>5.2028550000000005</v>
      </c>
      <c r="F37" t="s">
        <v>248</v>
      </c>
      <c r="K37" s="160" t="s">
        <v>247</v>
      </c>
      <c r="L37" s="168">
        <f>((L31/1000)*(L34*L35)+(L32/1000)*L34)</f>
        <v>5.2028550000000005</v>
      </c>
      <c r="M37" t="s">
        <v>248</v>
      </c>
      <c r="Q37" s="160" t="s">
        <v>247</v>
      </c>
      <c r="R37" s="168">
        <f>((R31/1000)*(R34*R35)+(R32/1000)*R34)</f>
        <v>5.2028550000000005</v>
      </c>
      <c r="S37" t="s">
        <v>248</v>
      </c>
      <c r="W37" s="160" t="s">
        <v>247</v>
      </c>
      <c r="X37" s="168">
        <f>((X31/1000)*(X34*X35)+(X32/1000)*X34)</f>
        <v>5.2028550000000005</v>
      </c>
      <c r="Y37" t="s">
        <v>248</v>
      </c>
      <c r="AC37" s="160" t="s">
        <v>247</v>
      </c>
      <c r="AD37" s="168">
        <f>((AD31/1000)*(AD34*AD35)+(AD32/1000)*AD34)</f>
        <v>5.2028550000000005</v>
      </c>
      <c r="AE37" t="s">
        <v>248</v>
      </c>
      <c r="AF37" s="169" t="s">
        <v>249</v>
      </c>
    </row>
    <row r="38" spans="4:33" x14ac:dyDescent="0.25">
      <c r="D38" s="160" t="s">
        <v>250</v>
      </c>
      <c r="E38" s="168">
        <f>E37*$L$3</f>
        <v>51.040007550000006</v>
      </c>
      <c r="F38" t="s">
        <v>251</v>
      </c>
      <c r="K38" s="160" t="s">
        <v>250</v>
      </c>
      <c r="L38" s="168">
        <f>L37*$L$3</f>
        <v>51.040007550000006</v>
      </c>
      <c r="M38" t="s">
        <v>251</v>
      </c>
      <c r="Q38" s="160" t="s">
        <v>250</v>
      </c>
      <c r="R38" s="168">
        <f>R37*$L$3</f>
        <v>51.040007550000006</v>
      </c>
      <c r="S38" t="s">
        <v>251</v>
      </c>
      <c r="W38" s="160" t="s">
        <v>250</v>
      </c>
      <c r="X38" s="168">
        <f>X37*$L$3</f>
        <v>51.040007550000006</v>
      </c>
      <c r="Y38" t="s">
        <v>251</v>
      </c>
      <c r="AC38" s="160" t="s">
        <v>250</v>
      </c>
      <c r="AD38" s="168">
        <f>AD37*$L$3</f>
        <v>51.040007550000006</v>
      </c>
      <c r="AE38" t="s">
        <v>251</v>
      </c>
      <c r="AF38" s="170">
        <f>AD37+X37+R37+L37+E37</f>
        <v>26.014275000000001</v>
      </c>
      <c r="AG38" t="s">
        <v>248</v>
      </c>
    </row>
    <row r="39" spans="4:33" x14ac:dyDescent="0.25">
      <c r="D39" s="160" t="s">
        <v>252</v>
      </c>
      <c r="E39" s="168">
        <f>E38*((E33/1000)/2)</f>
        <v>0.98507214571500012</v>
      </c>
      <c r="F39" t="s">
        <v>220</v>
      </c>
      <c r="K39" s="160" t="s">
        <v>252</v>
      </c>
      <c r="L39" s="168">
        <f>L38*((L33/1000)/2)</f>
        <v>0.98507214571500012</v>
      </c>
      <c r="M39" t="s">
        <v>220</v>
      </c>
      <c r="Q39" s="160" t="s">
        <v>252</v>
      </c>
      <c r="R39" s="168">
        <f>R38*((R33/1000)/2)</f>
        <v>0.98507214571500012</v>
      </c>
      <c r="S39" t="s">
        <v>220</v>
      </c>
      <c r="W39" s="160" t="s">
        <v>252</v>
      </c>
      <c r="X39" s="168">
        <f>X38*((X33/1000)/2)</f>
        <v>0.98507214571500012</v>
      </c>
      <c r="Y39" t="s">
        <v>220</v>
      </c>
      <c r="AC39" s="160" t="s">
        <v>252</v>
      </c>
      <c r="AD39" s="168">
        <f>AD38*((AD33/1000)/2)</f>
        <v>0.98507214571500012</v>
      </c>
      <c r="AE39" t="s">
        <v>220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19637-0DE5-4CA1-971C-46A239532814}">
  <sheetPr codeName="Sheet4"/>
  <dimension ref="A1:K50"/>
  <sheetViews>
    <sheetView topLeftCell="A7" workbookViewId="0">
      <selection activeCell="C45" sqref="C45"/>
    </sheetView>
  </sheetViews>
  <sheetFormatPr defaultRowHeight="15" x14ac:dyDescent="0.25"/>
  <cols>
    <col min="1" max="1" width="22" bestFit="1" customWidth="1"/>
    <col min="2" max="2" width="22" customWidth="1"/>
    <col min="3" max="3" width="53.28515625" bestFit="1" customWidth="1"/>
    <col min="7" max="7" width="11.85546875" bestFit="1" customWidth="1"/>
    <col min="8" max="8" width="23" customWidth="1"/>
    <col min="11" max="11" width="23.140625" bestFit="1" customWidth="1"/>
  </cols>
  <sheetData>
    <row r="1" spans="1:11" x14ac:dyDescent="0.25">
      <c r="A1" s="6" t="s">
        <v>357</v>
      </c>
      <c r="B1" s="6" t="s">
        <v>363</v>
      </c>
      <c r="C1" s="6" t="s">
        <v>356</v>
      </c>
      <c r="D1" s="8" t="s">
        <v>826</v>
      </c>
      <c r="E1" s="6"/>
      <c r="H1" s="656" t="s">
        <v>877</v>
      </c>
      <c r="K1" s="163" t="s">
        <v>878</v>
      </c>
    </row>
    <row r="2" spans="1:11" ht="16.5" x14ac:dyDescent="0.25">
      <c r="A2" s="176" t="s">
        <v>254</v>
      </c>
      <c r="B2" s="9" t="s">
        <v>254</v>
      </c>
      <c r="C2" s="705" t="s">
        <v>355</v>
      </c>
      <c r="D2" s="8"/>
      <c r="E2" s="6"/>
      <c r="H2" s="158">
        <f>COUNTA(A1:E1)</f>
        <v>4</v>
      </c>
      <c r="K2" s="6" t="s">
        <v>363</v>
      </c>
    </row>
    <row r="3" spans="1:11" x14ac:dyDescent="0.25">
      <c r="A3" s="176" t="s">
        <v>253</v>
      </c>
      <c r="B3" s="9" t="s">
        <v>253</v>
      </c>
      <c r="C3" s="706" t="s">
        <v>854</v>
      </c>
      <c r="D3" s="8"/>
      <c r="E3" s="6"/>
      <c r="K3" s="6" t="s">
        <v>356</v>
      </c>
    </row>
    <row r="4" spans="1:11" x14ac:dyDescent="0.25">
      <c r="A4" s="6" t="s">
        <v>347</v>
      </c>
      <c r="B4" s="6" t="s">
        <v>364</v>
      </c>
      <c r="C4" s="707" t="s">
        <v>360</v>
      </c>
      <c r="D4" s="8"/>
      <c r="E4" s="6"/>
      <c r="H4" s="163" t="s">
        <v>831</v>
      </c>
    </row>
    <row r="5" spans="1:11" x14ac:dyDescent="0.25">
      <c r="A5" s="178" t="s">
        <v>25</v>
      </c>
      <c r="B5" s="178" t="s">
        <v>25</v>
      </c>
      <c r="C5" s="706" t="s">
        <v>848</v>
      </c>
      <c r="D5" s="8"/>
      <c r="E5" s="6"/>
      <c r="H5" t="s">
        <v>828</v>
      </c>
      <c r="I5" s="519" t="s">
        <v>817</v>
      </c>
    </row>
    <row r="6" spans="1:11" x14ac:dyDescent="0.25">
      <c r="A6" s="178" t="s">
        <v>2</v>
      </c>
      <c r="B6" s="178" t="s">
        <v>2</v>
      </c>
      <c r="C6" s="706" t="s">
        <v>855</v>
      </c>
      <c r="D6" s="8"/>
      <c r="E6" s="6"/>
      <c r="H6" t="s">
        <v>830</v>
      </c>
      <c r="I6" t="str">
        <f ca="1">IFERROR(INDEX(Language_Dictionary,MATCH(I5,Language_Base,0),MATCH(Language_Selected,Language_available,0)), "Language base not setup in dictionary")</f>
        <v>WIDTH</v>
      </c>
    </row>
    <row r="7" spans="1:11" x14ac:dyDescent="0.25">
      <c r="A7" s="6" t="s">
        <v>835</v>
      </c>
      <c r="B7" s="6" t="s">
        <v>835</v>
      </c>
      <c r="C7" s="706" t="s">
        <v>358</v>
      </c>
      <c r="D7" s="8"/>
      <c r="E7" s="6"/>
      <c r="H7" t="s">
        <v>827</v>
      </c>
      <c r="I7">
        <f>MATCH(I5,Language_Base,0)</f>
        <v>5</v>
      </c>
    </row>
    <row r="8" spans="1:11" x14ac:dyDescent="0.25">
      <c r="A8" s="178" t="s">
        <v>819</v>
      </c>
      <c r="B8" s="178" t="s">
        <v>819</v>
      </c>
      <c r="C8" s="706" t="s">
        <v>359</v>
      </c>
      <c r="D8" s="8"/>
      <c r="E8" s="6"/>
      <c r="H8" t="s">
        <v>829</v>
      </c>
      <c r="I8">
        <f ca="1">MATCH(Language_Selected,Language_available,0)</f>
        <v>2</v>
      </c>
    </row>
    <row r="9" spans="1:11" ht="15.75" thickBot="1" x14ac:dyDescent="0.3">
      <c r="A9" s="178" t="s">
        <v>820</v>
      </c>
      <c r="B9" s="178" t="s">
        <v>820</v>
      </c>
      <c r="C9" s="706" t="s">
        <v>849</v>
      </c>
      <c r="D9" s="8"/>
      <c r="E9" s="6"/>
    </row>
    <row r="10" spans="1:11" ht="15.75" thickBot="1" x14ac:dyDescent="0.3">
      <c r="A10" s="179" t="s">
        <v>368</v>
      </c>
      <c r="B10" s="179" t="s">
        <v>368</v>
      </c>
      <c r="C10" s="706" t="s">
        <v>856</v>
      </c>
      <c r="D10" s="8"/>
      <c r="E10" s="6"/>
      <c r="H10" t="s">
        <v>907</v>
      </c>
      <c r="I10" s="740"/>
    </row>
    <row r="11" spans="1:11" x14ac:dyDescent="0.25">
      <c r="A11" s="179" t="s">
        <v>369</v>
      </c>
      <c r="B11" s="179" t="s">
        <v>369</v>
      </c>
      <c r="C11" s="706" t="s">
        <v>900</v>
      </c>
      <c r="D11" s="8"/>
      <c r="E11" s="6"/>
    </row>
    <row r="12" spans="1:11" ht="16.5" x14ac:dyDescent="0.25">
      <c r="A12" s="6" t="s">
        <v>266</v>
      </c>
      <c r="B12" s="179" t="s">
        <v>743</v>
      </c>
      <c r="C12" s="177" t="s">
        <v>850</v>
      </c>
      <c r="D12" s="8"/>
      <c r="E12" s="6"/>
    </row>
    <row r="13" spans="1:11" ht="16.5" x14ac:dyDescent="0.25">
      <c r="A13" s="179" t="s">
        <v>290</v>
      </c>
      <c r="B13" s="179" t="s">
        <v>290</v>
      </c>
      <c r="C13" s="177" t="s">
        <v>851</v>
      </c>
      <c r="D13" s="8"/>
      <c r="E13" s="6"/>
    </row>
    <row r="14" spans="1:11" ht="16.5" x14ac:dyDescent="0.25">
      <c r="A14" s="6" t="s">
        <v>608</v>
      </c>
      <c r="B14" s="6" t="s">
        <v>609</v>
      </c>
      <c r="C14" s="177" t="s">
        <v>857</v>
      </c>
      <c r="D14" s="8"/>
      <c r="E14" s="6"/>
    </row>
    <row r="15" spans="1:11" ht="16.5" x14ac:dyDescent="0.25">
      <c r="A15" s="6" t="s">
        <v>751</v>
      </c>
      <c r="B15" s="179" t="s">
        <v>750</v>
      </c>
      <c r="C15" s="177" t="s">
        <v>858</v>
      </c>
      <c r="D15" s="8"/>
      <c r="E15" s="6"/>
    </row>
    <row r="16" spans="1:11" ht="16.5" x14ac:dyDescent="0.25">
      <c r="A16" s="6" t="s">
        <v>749</v>
      </c>
      <c r="B16" s="6" t="s">
        <v>749</v>
      </c>
      <c r="C16" s="177" t="s">
        <v>901</v>
      </c>
      <c r="D16" s="8"/>
      <c r="E16" s="6"/>
      <c r="G16" t="s">
        <v>884</v>
      </c>
    </row>
    <row r="17" spans="1:7" ht="16.5" x14ac:dyDescent="0.25">
      <c r="A17" s="6" t="s">
        <v>623</v>
      </c>
      <c r="B17" s="6" t="s">
        <v>623</v>
      </c>
      <c r="C17" s="177" t="s">
        <v>885</v>
      </c>
      <c r="D17" s="8"/>
      <c r="E17" s="6"/>
      <c r="G17" t="s">
        <v>883</v>
      </c>
    </row>
    <row r="18" spans="1:7" ht="16.5" x14ac:dyDescent="0.25">
      <c r="A18" s="6" t="s">
        <v>816</v>
      </c>
      <c r="B18" s="6" t="s">
        <v>816</v>
      </c>
      <c r="C18" s="709" t="s">
        <v>853</v>
      </c>
      <c r="D18" s="8"/>
      <c r="E18" s="6"/>
    </row>
    <row r="19" spans="1:7" ht="16.5" x14ac:dyDescent="0.25">
      <c r="A19" s="6" t="s">
        <v>747</v>
      </c>
      <c r="B19" s="6" t="s">
        <v>748</v>
      </c>
      <c r="C19" s="177" t="s">
        <v>859</v>
      </c>
      <c r="D19" s="8"/>
      <c r="E19" s="6"/>
    </row>
    <row r="20" spans="1:7" ht="16.5" x14ac:dyDescent="0.25">
      <c r="A20" s="6" t="s">
        <v>807</v>
      </c>
      <c r="B20" s="6" t="s">
        <v>807</v>
      </c>
      <c r="C20" s="177" t="s">
        <v>860</v>
      </c>
      <c r="D20" s="8"/>
      <c r="E20" s="6"/>
    </row>
    <row r="21" spans="1:7" ht="16.5" x14ac:dyDescent="0.25">
      <c r="A21" s="6" t="s">
        <v>803</v>
      </c>
      <c r="B21" s="6" t="s">
        <v>803</v>
      </c>
      <c r="C21" s="177" t="s">
        <v>861</v>
      </c>
      <c r="D21" s="8"/>
      <c r="E21" s="6"/>
    </row>
    <row r="22" spans="1:7" ht="16.5" x14ac:dyDescent="0.25">
      <c r="A22" s="6" t="s">
        <v>150</v>
      </c>
      <c r="B22" s="6" t="s">
        <v>150</v>
      </c>
      <c r="C22" s="177" t="s">
        <v>906</v>
      </c>
      <c r="D22" s="8"/>
      <c r="E22" s="6"/>
    </row>
    <row r="23" spans="1:7" ht="16.5" x14ac:dyDescent="0.25">
      <c r="A23" s="6" t="s">
        <v>752</v>
      </c>
      <c r="B23" s="6" t="s">
        <v>752</v>
      </c>
      <c r="C23" s="709" t="s">
        <v>899</v>
      </c>
      <c r="D23" s="8"/>
      <c r="E23" s="6"/>
    </row>
    <row r="24" spans="1:7" ht="16.5" x14ac:dyDescent="0.25">
      <c r="A24" s="6" t="s">
        <v>753</v>
      </c>
      <c r="B24" s="179" t="s">
        <v>754</v>
      </c>
      <c r="C24" s="177" t="s">
        <v>902</v>
      </c>
      <c r="D24" s="8"/>
      <c r="E24" s="6"/>
    </row>
    <row r="25" spans="1:7" ht="16.5" x14ac:dyDescent="0.25">
      <c r="A25" s="732" t="s">
        <v>348</v>
      </c>
      <c r="B25" s="731" t="s">
        <v>348</v>
      </c>
      <c r="C25" s="709" t="s">
        <v>895</v>
      </c>
      <c r="D25" s="8"/>
      <c r="E25" s="6"/>
    </row>
    <row r="26" spans="1:7" x14ac:dyDescent="0.25">
      <c r="A26" s="179" t="s">
        <v>755</v>
      </c>
      <c r="B26" s="179" t="s">
        <v>755</v>
      </c>
      <c r="C26" s="706" t="s">
        <v>756</v>
      </c>
      <c r="D26" s="8"/>
      <c r="E26" s="6"/>
    </row>
    <row r="27" spans="1:7" x14ac:dyDescent="0.25">
      <c r="A27" s="179" t="s">
        <v>865</v>
      </c>
      <c r="B27" s="179" t="s">
        <v>865</v>
      </c>
      <c r="C27" s="706" t="s">
        <v>864</v>
      </c>
      <c r="D27" s="8"/>
      <c r="E27" s="6"/>
    </row>
    <row r="28" spans="1:7" x14ac:dyDescent="0.25">
      <c r="A28" s="179" t="s">
        <v>866</v>
      </c>
      <c r="B28" s="179" t="s">
        <v>866</v>
      </c>
      <c r="C28" s="706" t="s">
        <v>870</v>
      </c>
      <c r="D28" s="8"/>
      <c r="E28" s="6"/>
    </row>
    <row r="29" spans="1:7" x14ac:dyDescent="0.25">
      <c r="A29" s="179" t="s">
        <v>867</v>
      </c>
      <c r="B29" s="179" t="s">
        <v>867</v>
      </c>
      <c r="C29" s="706" t="s">
        <v>871</v>
      </c>
      <c r="D29" s="8"/>
      <c r="E29" s="6"/>
    </row>
    <row r="30" spans="1:7" x14ac:dyDescent="0.25">
      <c r="A30" s="179" t="s">
        <v>868</v>
      </c>
      <c r="B30" s="179" t="s">
        <v>868</v>
      </c>
      <c r="C30" s="706" t="s">
        <v>872</v>
      </c>
      <c r="D30" s="8"/>
      <c r="E30" s="6"/>
    </row>
    <row r="31" spans="1:7" x14ac:dyDescent="0.25">
      <c r="A31" s="179" t="s">
        <v>869</v>
      </c>
      <c r="B31" s="179" t="s">
        <v>869</v>
      </c>
      <c r="C31" s="706" t="s">
        <v>873</v>
      </c>
      <c r="D31" s="8"/>
      <c r="E31" s="6"/>
    </row>
    <row r="32" spans="1:7" x14ac:dyDescent="0.25">
      <c r="A32" s="179" t="s">
        <v>833</v>
      </c>
      <c r="B32" s="179" t="s">
        <v>833</v>
      </c>
      <c r="C32" s="706" t="s">
        <v>886</v>
      </c>
      <c r="D32" s="8"/>
      <c r="E32" s="6"/>
    </row>
    <row r="33" spans="1:5" x14ac:dyDescent="0.25">
      <c r="A33" s="731" t="s">
        <v>846</v>
      </c>
      <c r="B33" s="731" t="s">
        <v>846</v>
      </c>
      <c r="C33" s="708" t="s">
        <v>887</v>
      </c>
      <c r="D33" s="8"/>
      <c r="E33" s="6"/>
    </row>
    <row r="34" spans="1:5" x14ac:dyDescent="0.25">
      <c r="A34" s="731" t="s">
        <v>880</v>
      </c>
      <c r="B34" s="731" t="s">
        <v>880</v>
      </c>
      <c r="C34" s="708" t="s">
        <v>888</v>
      </c>
      <c r="D34" s="8"/>
      <c r="E34" s="6"/>
    </row>
    <row r="35" spans="1:5" x14ac:dyDescent="0.25">
      <c r="A35" s="731" t="s">
        <v>881</v>
      </c>
      <c r="B35" s="731" t="s">
        <v>881</v>
      </c>
      <c r="C35" s="708" t="s">
        <v>889</v>
      </c>
      <c r="D35" s="8"/>
      <c r="E35" s="6"/>
    </row>
    <row r="36" spans="1:5" x14ac:dyDescent="0.25">
      <c r="A36" s="731" t="s">
        <v>882</v>
      </c>
      <c r="B36" s="731" t="s">
        <v>882</v>
      </c>
      <c r="C36" s="708" t="s">
        <v>890</v>
      </c>
      <c r="D36" s="8"/>
      <c r="E36" s="6"/>
    </row>
    <row r="37" spans="1:5" x14ac:dyDescent="0.25">
      <c r="A37" s="731" t="s">
        <v>824</v>
      </c>
      <c r="B37" s="731" t="s">
        <v>824</v>
      </c>
      <c r="C37" s="708" t="s">
        <v>891</v>
      </c>
      <c r="D37" s="8"/>
      <c r="E37" s="6"/>
    </row>
    <row r="38" spans="1:5" x14ac:dyDescent="0.25">
      <c r="A38" s="731" t="s">
        <v>370</v>
      </c>
      <c r="B38" s="731" t="s">
        <v>370</v>
      </c>
      <c r="C38" s="708" t="s">
        <v>892</v>
      </c>
      <c r="D38" s="8"/>
      <c r="E38" s="6"/>
    </row>
    <row r="39" spans="1:5" x14ac:dyDescent="0.25">
      <c r="A39" s="731" t="s">
        <v>371</v>
      </c>
      <c r="B39" s="731" t="s">
        <v>371</v>
      </c>
      <c r="C39" s="708" t="s">
        <v>893</v>
      </c>
      <c r="D39" s="8"/>
      <c r="E39" s="6"/>
    </row>
    <row r="40" spans="1:5" x14ac:dyDescent="0.25">
      <c r="A40" s="731" t="s">
        <v>809</v>
      </c>
      <c r="B40" s="731" t="s">
        <v>809</v>
      </c>
      <c r="C40" s="708" t="s">
        <v>894</v>
      </c>
      <c r="D40" s="8"/>
      <c r="E40" s="6"/>
    </row>
    <row r="41" spans="1:5" x14ac:dyDescent="0.25">
      <c r="A41" s="731" t="s">
        <v>913</v>
      </c>
      <c r="B41" s="731" t="s">
        <v>908</v>
      </c>
      <c r="C41" s="731" t="s">
        <v>911</v>
      </c>
      <c r="D41" s="8"/>
      <c r="E41" s="6"/>
    </row>
    <row r="42" spans="1:5" x14ac:dyDescent="0.25">
      <c r="A42" s="731" t="s">
        <v>909</v>
      </c>
      <c r="B42" s="731" t="s">
        <v>909</v>
      </c>
      <c r="C42" s="731" t="s">
        <v>909</v>
      </c>
      <c r="D42" s="8"/>
      <c r="E42" s="6"/>
    </row>
    <row r="43" spans="1:5" x14ac:dyDescent="0.25">
      <c r="A43" s="731" t="s">
        <v>910</v>
      </c>
      <c r="B43" s="731" t="s">
        <v>910</v>
      </c>
      <c r="C43" s="731" t="s">
        <v>912</v>
      </c>
      <c r="D43" s="8"/>
      <c r="E43" s="6"/>
    </row>
    <row r="44" spans="1:5" x14ac:dyDescent="0.25">
      <c r="A44" s="731" t="s">
        <v>941</v>
      </c>
      <c r="B44" s="731" t="s">
        <v>941</v>
      </c>
      <c r="C44" s="731" t="s">
        <v>940</v>
      </c>
      <c r="D44" s="8"/>
      <c r="E44" s="6"/>
    </row>
    <row r="45" spans="1:5" ht="16.5" x14ac:dyDescent="0.25">
      <c r="A45" s="176"/>
      <c r="B45" s="9"/>
      <c r="C45" s="177"/>
      <c r="D45" s="8"/>
      <c r="E45" s="6"/>
    </row>
    <row r="46" spans="1:5" x14ac:dyDescent="0.25">
      <c r="A46" s="6" t="s">
        <v>349</v>
      </c>
      <c r="B46" s="6" t="s">
        <v>349</v>
      </c>
      <c r="C46" s="706" t="s">
        <v>862</v>
      </c>
      <c r="D46" s="8"/>
      <c r="E46" s="6"/>
    </row>
    <row r="47" spans="1:5" x14ac:dyDescent="0.25">
      <c r="A47" s="6" t="s">
        <v>350</v>
      </c>
      <c r="B47" s="6" t="s">
        <v>350</v>
      </c>
      <c r="C47" s="706" t="s">
        <v>863</v>
      </c>
      <c r="D47" s="8"/>
      <c r="E47" s="6"/>
    </row>
    <row r="48" spans="1:5" x14ac:dyDescent="0.25">
      <c r="A48" s="6" t="s">
        <v>351</v>
      </c>
      <c r="B48" s="6" t="s">
        <v>351</v>
      </c>
      <c r="C48" s="706" t="s">
        <v>852</v>
      </c>
      <c r="D48" s="8"/>
      <c r="E48" s="6"/>
    </row>
    <row r="49" spans="1:5" x14ac:dyDescent="0.25">
      <c r="A49" s="6" t="s">
        <v>352</v>
      </c>
      <c r="B49" s="6" t="s">
        <v>352</v>
      </c>
      <c r="C49" s="706" t="s">
        <v>26</v>
      </c>
      <c r="D49" s="8"/>
      <c r="E49" s="6"/>
    </row>
    <row r="50" spans="1:5" x14ac:dyDescent="0.25">
      <c r="A50" s="473" t="s">
        <v>810</v>
      </c>
      <c r="B50" s="704"/>
      <c r="C50" s="704"/>
      <c r="D50" s="473"/>
      <c r="E50" s="473"/>
    </row>
  </sheetData>
  <dataValidations count="1">
    <dataValidation type="list" allowBlank="1" showInputMessage="1" showErrorMessage="1" sqref="I10" xr:uid="{59EFB746-EC08-42BA-AD61-7B8C446B79BF}">
      <formula1>Language_Translated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0FB2F-4B64-427A-AA92-3CDA539A0FFC}">
  <sheetPr codeName="Sheet5"/>
  <dimension ref="A3:AS324"/>
  <sheetViews>
    <sheetView topLeftCell="A283" zoomScale="55" zoomScaleNormal="55" workbookViewId="0">
      <selection activeCell="I306" sqref="I306"/>
    </sheetView>
  </sheetViews>
  <sheetFormatPr defaultRowHeight="15" outlineLevelRow="1" x14ac:dyDescent="0.25"/>
  <cols>
    <col min="2" max="2" width="3.7109375" bestFit="1" customWidth="1"/>
    <col min="3" max="3" width="19.28515625" customWidth="1"/>
    <col min="4" max="5" width="19.7109375" customWidth="1"/>
    <col min="6" max="6" width="24" bestFit="1" customWidth="1"/>
    <col min="7" max="7" width="18.42578125" customWidth="1"/>
    <col min="8" max="8" width="25.140625" bestFit="1" customWidth="1"/>
    <col min="9" max="9" width="14.140625" bestFit="1" customWidth="1"/>
    <col min="10" max="10" width="18.28515625" customWidth="1"/>
    <col min="11" max="11" width="20.85546875" bestFit="1" customWidth="1"/>
    <col min="12" max="12" width="15.85546875" customWidth="1"/>
    <col min="13" max="13" width="15.28515625" bestFit="1" customWidth="1"/>
    <col min="14" max="14" width="22.140625" bestFit="1" customWidth="1"/>
    <col min="15" max="15" width="17.140625" customWidth="1"/>
    <col min="21" max="21" width="11.42578125" bestFit="1" customWidth="1"/>
    <col min="24" max="24" width="8.7109375" customWidth="1"/>
    <col min="27" max="27" width="17.28515625" customWidth="1"/>
    <col min="31" max="31" width="18.140625" customWidth="1"/>
  </cols>
  <sheetData>
    <row r="3" spans="1:19" x14ac:dyDescent="0.25">
      <c r="C3" s="1" t="s">
        <v>2</v>
      </c>
      <c r="D3" s="2"/>
      <c r="F3" s="829" t="s">
        <v>3</v>
      </c>
      <c r="G3" s="829"/>
      <c r="H3" s="829"/>
      <c r="I3" s="829"/>
      <c r="K3" s="829" t="s">
        <v>4</v>
      </c>
      <c r="L3" s="829"/>
      <c r="N3" s="830" t="s">
        <v>5</v>
      </c>
      <c r="O3" s="831"/>
      <c r="P3" s="831"/>
      <c r="Q3" s="831"/>
      <c r="R3" s="831"/>
      <c r="S3" s="831"/>
    </row>
    <row r="4" spans="1:19" x14ac:dyDescent="0.25">
      <c r="C4" s="3" t="s">
        <v>8</v>
      </c>
      <c r="D4" s="4">
        <v>0.75</v>
      </c>
      <c r="F4" s="5" t="s">
        <v>9</v>
      </c>
      <c r="G4" s="6" t="s">
        <v>10</v>
      </c>
      <c r="H4" s="6"/>
      <c r="I4" s="6"/>
      <c r="K4" s="832" t="b">
        <f>OR(ISBLANK(input_winder),ISBLANK(input_tube),ISBLANK(input_wb),ISBLANK(input_fabric))</f>
        <v>0</v>
      </c>
      <c r="L4" s="832"/>
      <c r="N4" s="7" t="s">
        <v>11</v>
      </c>
      <c r="O4" s="8" t="s">
        <v>12</v>
      </c>
      <c r="P4" s="6" t="s">
        <v>13</v>
      </c>
      <c r="Q4" s="6" t="s">
        <v>14</v>
      </c>
      <c r="R4" s="6" t="s">
        <v>15</v>
      </c>
      <c r="S4" s="6" t="s">
        <v>16</v>
      </c>
    </row>
    <row r="5" spans="1:19" x14ac:dyDescent="0.25">
      <c r="C5" s="3" t="s">
        <v>19</v>
      </c>
      <c r="D5" s="4">
        <v>0.25</v>
      </c>
      <c r="F5" s="10" t="s">
        <v>20</v>
      </c>
      <c r="G5" s="6" t="s">
        <v>21</v>
      </c>
      <c r="H5" s="6"/>
      <c r="I5" s="6"/>
      <c r="N5" s="11" t="s">
        <v>22</v>
      </c>
      <c r="O5" s="8" t="e">
        <f>IF(chart_one_status="On",1,0)</f>
        <v>#NAME?</v>
      </c>
      <c r="P5" s="6" t="e">
        <f>IF(chart_two_status="On",1,0)</f>
        <v>#NAME?</v>
      </c>
      <c r="Q5" s="6" t="e">
        <f>IF(chart_three_status="On",1,0)</f>
        <v>#NAME?</v>
      </c>
      <c r="R5" s="6" t="e">
        <f>IF(chart_four_status="On",1,0)</f>
        <v>#NAME?</v>
      </c>
      <c r="S5" s="6" t="e">
        <f>IF(chart_five_status="On",1,0)</f>
        <v>#NAME?</v>
      </c>
    </row>
    <row r="6" spans="1:19" x14ac:dyDescent="0.25">
      <c r="C6" s="1" t="s">
        <v>25</v>
      </c>
      <c r="D6" s="12"/>
    </row>
    <row r="7" spans="1:19" x14ac:dyDescent="0.25">
      <c r="C7" s="3" t="s">
        <v>8</v>
      </c>
      <c r="D7" s="4">
        <v>0.75</v>
      </c>
    </row>
    <row r="8" spans="1:19" x14ac:dyDescent="0.25">
      <c r="C8" s="3" t="s">
        <v>19</v>
      </c>
      <c r="D8" s="4">
        <v>0.25</v>
      </c>
    </row>
    <row r="10" spans="1:19" x14ac:dyDescent="0.25">
      <c r="C10" s="833" t="s">
        <v>27</v>
      </c>
      <c r="D10" s="833"/>
      <c r="E10" s="13">
        <v>1.05</v>
      </c>
      <c r="F10" s="14" t="s">
        <v>28</v>
      </c>
      <c r="G10" s="834" t="s">
        <v>29</v>
      </c>
      <c r="H10" s="834"/>
      <c r="I10" s="834"/>
      <c r="J10" s="834"/>
      <c r="K10" s="834"/>
      <c r="L10" s="15"/>
      <c r="M10" s="15"/>
      <c r="N10" s="15"/>
      <c r="O10" s="15"/>
      <c r="P10" s="16"/>
      <c r="Q10" s="17"/>
    </row>
    <row r="11" spans="1:19" x14ac:dyDescent="0.25">
      <c r="C11" s="837" t="s">
        <v>30</v>
      </c>
      <c r="D11" s="837"/>
      <c r="E11" s="18">
        <f>1/$E$10</f>
        <v>0.95238095238095233</v>
      </c>
      <c r="F11" s="19"/>
      <c r="G11" s="838" t="s">
        <v>31</v>
      </c>
      <c r="H11" s="839"/>
      <c r="I11" s="839"/>
      <c r="J11" s="839"/>
      <c r="K11" s="839"/>
      <c r="L11" s="20"/>
      <c r="M11" s="20"/>
      <c r="N11" s="20"/>
      <c r="O11" s="20"/>
      <c r="P11" s="16"/>
      <c r="Q11" s="15"/>
    </row>
    <row r="12" spans="1:19" x14ac:dyDescent="0.25">
      <c r="C12" s="21" t="s">
        <v>32</v>
      </c>
      <c r="D12" s="22">
        <v>68000000000</v>
      </c>
      <c r="E12" s="23" t="s">
        <v>33</v>
      </c>
      <c r="F12" s="24"/>
      <c r="G12" s="839"/>
      <c r="H12" s="839"/>
      <c r="I12" s="839"/>
      <c r="J12" s="839"/>
      <c r="K12" s="839"/>
      <c r="L12" s="16"/>
      <c r="M12" s="16"/>
      <c r="N12" s="16"/>
      <c r="O12" s="16"/>
      <c r="P12" s="16"/>
      <c r="Q12" s="16"/>
    </row>
    <row r="13" spans="1:19" x14ac:dyDescent="0.25">
      <c r="C13" s="21" t="s">
        <v>34</v>
      </c>
      <c r="D13" s="25">
        <v>210000000000</v>
      </c>
      <c r="E13" s="26" t="s">
        <v>33</v>
      </c>
      <c r="F13" s="16"/>
      <c r="G13" s="839"/>
      <c r="H13" s="839"/>
      <c r="I13" s="839"/>
      <c r="J13" s="839"/>
      <c r="K13" s="839"/>
      <c r="L13" s="16"/>
      <c r="M13" s="16"/>
      <c r="N13" s="16"/>
      <c r="O13" s="16"/>
      <c r="P13" s="16"/>
      <c r="Q13" s="16"/>
    </row>
    <row r="14" spans="1:19" x14ac:dyDescent="0.25">
      <c r="C14" s="27"/>
      <c r="D14" s="28"/>
      <c r="E14" s="29"/>
      <c r="F14" s="16"/>
      <c r="G14" s="30"/>
      <c r="H14" s="30"/>
      <c r="I14" s="30"/>
      <c r="J14" s="30"/>
      <c r="K14" s="30"/>
      <c r="L14" s="16"/>
      <c r="M14" s="16"/>
      <c r="N14" s="16"/>
      <c r="O14" s="16"/>
      <c r="P14" s="16"/>
      <c r="Q14" s="16"/>
    </row>
    <row r="15" spans="1:19" s="159" customFormat="1" ht="23.25" x14ac:dyDescent="0.35">
      <c r="A15" s="724" t="s">
        <v>904</v>
      </c>
      <c r="C15" s="725"/>
      <c r="D15" s="726"/>
      <c r="E15" s="727"/>
      <c r="F15" s="728"/>
      <c r="G15" s="729"/>
      <c r="H15" s="729"/>
      <c r="I15" s="729"/>
      <c r="J15" s="729"/>
      <c r="K15" s="729"/>
      <c r="L15" s="728"/>
      <c r="M15" s="728"/>
      <c r="N15" s="728"/>
      <c r="O15" s="728"/>
      <c r="P15" s="728"/>
      <c r="Q15" s="728"/>
    </row>
    <row r="16" spans="1:19" ht="14.25" customHeight="1" x14ac:dyDescent="0.35">
      <c r="A16" s="723"/>
      <c r="C16" s="27"/>
      <c r="D16" s="28"/>
      <c r="E16" s="29"/>
      <c r="F16" s="16"/>
      <c r="G16" s="30"/>
      <c r="H16" s="30"/>
      <c r="I16" s="30"/>
      <c r="J16" s="30"/>
      <c r="K16" s="30"/>
      <c r="L16" s="16"/>
      <c r="M16" s="16"/>
      <c r="N16" s="16"/>
      <c r="O16" s="16"/>
      <c r="P16" s="16"/>
      <c r="Q16" s="16"/>
    </row>
    <row r="17" spans="1:41" ht="14.25" customHeight="1" x14ac:dyDescent="0.35">
      <c r="A17" s="723"/>
      <c r="F17" s="163" t="s">
        <v>897</v>
      </c>
      <c r="I17" s="30"/>
      <c r="J17" s="30"/>
      <c r="K17" s="30"/>
      <c r="L17" s="16"/>
      <c r="M17" s="16"/>
      <c r="N17" s="16"/>
      <c r="O17" s="16"/>
      <c r="P17" s="16"/>
      <c r="Q17" s="16"/>
    </row>
    <row r="18" spans="1:41" ht="14.25" customHeight="1" x14ac:dyDescent="0.35">
      <c r="A18" s="723"/>
      <c r="C18" s="730" t="s">
        <v>6</v>
      </c>
      <c r="E18" s="730" t="s">
        <v>7</v>
      </c>
      <c r="F18" s="730"/>
      <c r="H18" s="730" t="s">
        <v>353</v>
      </c>
      <c r="I18" s="30"/>
      <c r="J18" s="159" t="s">
        <v>0</v>
      </c>
      <c r="K18" s="159"/>
      <c r="L18" s="159"/>
      <c r="M18" s="159"/>
      <c r="N18" s="159"/>
      <c r="O18" s="159"/>
      <c r="P18" s="159"/>
      <c r="Q18" s="159"/>
      <c r="R18" s="159"/>
      <c r="S18" s="159"/>
      <c r="T18" s="159"/>
    </row>
    <row r="19" spans="1:41" ht="14.25" customHeight="1" x14ac:dyDescent="0.35">
      <c r="A19" s="723"/>
      <c r="C19" s="9" t="s">
        <v>17</v>
      </c>
      <c r="E19" s="6" t="s">
        <v>832</v>
      </c>
      <c r="F19" s="6" t="str">
        <f ca="1">IF(ISNUMBER(FIND(F$21,E19)),LEFT(E19,FIND(F$21,E19)-1)&amp;IFERROR(INDEX(Language_Dictionary,MATCH(F$21,Language_Base,0),MATCH(Language_Selected,Language_available,0)), "Language base not setup in dictionary"),E19)</f>
        <v>2 WRAPS</v>
      </c>
      <c r="H19" s="9" t="s">
        <v>256</v>
      </c>
      <c r="I19" s="30"/>
      <c r="J19" s="119" t="s">
        <v>1</v>
      </c>
      <c r="K19" s="159"/>
      <c r="L19" s="159"/>
      <c r="M19" s="159"/>
      <c r="N19" s="159"/>
      <c r="O19" s="159"/>
      <c r="P19" s="159"/>
      <c r="Q19" s="159"/>
      <c r="R19" s="159"/>
      <c r="S19" s="159"/>
      <c r="T19" s="159"/>
    </row>
    <row r="20" spans="1:41" ht="14.25" customHeight="1" x14ac:dyDescent="0.35">
      <c r="A20" s="723"/>
      <c r="C20" s="9" t="s">
        <v>23</v>
      </c>
      <c r="E20" s="6" t="s">
        <v>24</v>
      </c>
      <c r="F20" s="6" t="str">
        <f>IF(ISNUMBER(FIND(F$21,E20)),LEFT(E20,FIND(F$21,E20)-1)&amp;IFERROR(INDEX(Language_Dictionary,MATCH(F$21,Language_Base,0),MATCH(Language_Selected,Language_available,0)), "Language base not setup in dictionary"),E20)</f>
        <v>No</v>
      </c>
      <c r="H20" s="9" t="s">
        <v>354</v>
      </c>
      <c r="I20" s="30"/>
      <c r="J20" s="30"/>
      <c r="K20" s="30"/>
      <c r="L20" s="16"/>
      <c r="M20" s="16"/>
      <c r="N20" s="16"/>
      <c r="O20" s="16"/>
      <c r="P20" s="16"/>
      <c r="Q20" s="16"/>
    </row>
    <row r="21" spans="1:41" ht="14.25" customHeight="1" x14ac:dyDescent="0.35">
      <c r="A21" s="723"/>
      <c r="C21" s="9" t="s">
        <v>26</v>
      </c>
      <c r="F21" s="722" t="s">
        <v>896</v>
      </c>
      <c r="I21" s="30"/>
      <c r="J21" s="30"/>
      <c r="K21" s="30"/>
      <c r="L21" s="16"/>
      <c r="M21" s="16"/>
      <c r="N21" s="16"/>
      <c r="O21" s="16"/>
      <c r="P21" s="16"/>
      <c r="Q21" s="16"/>
    </row>
    <row r="22" spans="1:41" ht="14.25" customHeight="1" x14ac:dyDescent="0.35">
      <c r="A22" s="723"/>
      <c r="C22" s="27"/>
      <c r="D22" s="28"/>
      <c r="E22" s="29"/>
      <c r="F22" s="16"/>
      <c r="G22" s="30"/>
      <c r="H22" s="30"/>
      <c r="I22" s="30"/>
      <c r="J22" s="30"/>
      <c r="K22" s="30"/>
      <c r="L22" s="16"/>
      <c r="M22" s="16"/>
      <c r="N22" s="16"/>
      <c r="O22" s="16"/>
      <c r="P22" s="16"/>
      <c r="Q22" s="16"/>
    </row>
    <row r="23" spans="1:41" ht="14.25" customHeight="1" x14ac:dyDescent="0.25">
      <c r="C23" s="27"/>
      <c r="D23" s="28"/>
      <c r="E23" s="29"/>
      <c r="F23" s="29"/>
      <c r="G23" s="456">
        <f ca="1">COUNTA(G26:G54)</f>
        <v>29</v>
      </c>
      <c r="H23" s="30"/>
      <c r="I23" s="30"/>
      <c r="J23" s="30"/>
      <c r="K23" s="30"/>
      <c r="L23" s="30"/>
      <c r="M23" s="30"/>
      <c r="N23" s="16"/>
      <c r="O23" s="16"/>
      <c r="P23" s="16"/>
      <c r="Q23" s="16"/>
    </row>
    <row r="24" spans="1:41" x14ac:dyDescent="0.25">
      <c r="C24" s="721" t="s">
        <v>35</v>
      </c>
      <c r="D24" s="721"/>
      <c r="E24" s="721"/>
      <c r="F24" s="721"/>
      <c r="G24" s="721"/>
      <c r="H24" s="721"/>
      <c r="I24" s="721"/>
      <c r="J24" s="721"/>
      <c r="K24" s="721"/>
      <c r="L24" s="721"/>
      <c r="M24" s="16"/>
      <c r="N24" s="16"/>
      <c r="O24" s="472" t="s">
        <v>791</v>
      </c>
      <c r="P24" s="409">
        <f ca="1">IFERROR(MATCH("",P26:P54,0)-1,"")</f>
        <v>20</v>
      </c>
      <c r="Q24" s="455" t="s">
        <v>795</v>
      </c>
      <c r="AA24" s="796" t="s">
        <v>766</v>
      </c>
      <c r="AB24" s="796"/>
      <c r="AC24" s="796"/>
      <c r="AD24" s="796"/>
      <c r="AE24" s="796"/>
      <c r="AF24" s="796"/>
      <c r="AG24" s="796"/>
      <c r="AH24" s="796"/>
      <c r="AI24" s="796"/>
      <c r="AJ24" s="796"/>
      <c r="AK24" s="796"/>
      <c r="AL24" s="796"/>
      <c r="AM24" s="796"/>
      <c r="AN24" s="796"/>
    </row>
    <row r="25" spans="1:41" x14ac:dyDescent="0.25">
      <c r="A25" s="468" t="s">
        <v>778</v>
      </c>
      <c r="C25" s="31" t="s">
        <v>36</v>
      </c>
      <c r="D25" s="32" t="s">
        <v>37</v>
      </c>
      <c r="E25" s="31" t="s">
        <v>38</v>
      </c>
      <c r="F25" s="31" t="s">
        <v>903</v>
      </c>
      <c r="G25" s="31" t="s">
        <v>898</v>
      </c>
      <c r="H25" s="31" t="s">
        <v>40</v>
      </c>
      <c r="I25" s="31" t="s">
        <v>41</v>
      </c>
      <c r="J25" s="31" t="s">
        <v>42</v>
      </c>
      <c r="K25" s="33" t="s">
        <v>43</v>
      </c>
      <c r="L25" s="31" t="s">
        <v>44</v>
      </c>
      <c r="M25" s="458" t="s">
        <v>36</v>
      </c>
      <c r="N25" s="34"/>
      <c r="O25" s="34" t="s">
        <v>793</v>
      </c>
      <c r="P25" s="34" t="s">
        <v>794</v>
      </c>
      <c r="AA25" s="136"/>
      <c r="AB25" s="799" t="s">
        <v>777</v>
      </c>
      <c r="AC25" s="799"/>
      <c r="AD25" s="799"/>
      <c r="AE25" s="799"/>
      <c r="AF25" s="799"/>
      <c r="AG25" s="799"/>
      <c r="AH25" s="799"/>
      <c r="AI25" s="799"/>
      <c r="AJ25" s="799"/>
      <c r="AK25" s="799"/>
      <c r="AL25" s="799"/>
      <c r="AM25" s="799"/>
      <c r="AN25" s="799"/>
    </row>
    <row r="26" spans="1:41" x14ac:dyDescent="0.25">
      <c r="A26" s="453">
        <v>1</v>
      </c>
      <c r="B26" s="846" t="s">
        <v>45</v>
      </c>
      <c r="C26" s="35">
        <v>35</v>
      </c>
      <c r="D26" s="840" t="s">
        <v>46</v>
      </c>
      <c r="E26" s="35" t="s">
        <v>47</v>
      </c>
      <c r="F26" s="36" t="s">
        <v>779</v>
      </c>
      <c r="G26" s="36" t="str">
        <f t="shared" ref="G26:G53" si="0">IF(ISNUMBER(FIND(G$55,F26)),LEFT(F26,FIND(G$55,F26)-1)&amp;IFERROR(INDEX(Language_Dictionary,MATCH(G$55,Language_Base,0),MATCH(Language_Selected,Language_available,0)), "Language base not setup in dictionary"),F26)</f>
        <v>S35 STD</v>
      </c>
      <c r="H26" s="37">
        <v>32.9</v>
      </c>
      <c r="I26" s="38">
        <v>0.30769999999999997</v>
      </c>
      <c r="J26" s="39">
        <v>14029.16</v>
      </c>
      <c r="K26" s="40">
        <f t="shared" ref="K26:K53" si="1">J26*0.000000000001</f>
        <v>1.4029159999999999E-8</v>
      </c>
      <c r="L26" s="41">
        <f>$D$12*K26</f>
        <v>953.98287999999991</v>
      </c>
      <c r="M26" s="459" t="s">
        <v>772</v>
      </c>
      <c r="N26" s="42"/>
      <c r="O26" s="457">
        <f>IF(A26=0,$G$54,COUNTIF($O$25:O25,"&lt;"&amp;$G$54)+1)</f>
        <v>1</v>
      </c>
      <c r="P26" s="102" t="str">
        <f ca="1">IFERROR(INDEX($G$26:OFFSET($G$26,$G$23-1,0),MATCH(ROW()-ROW($O$25),$O$26:OFFSET($O$26,$G$23-1,0),0)),"")</f>
        <v>S35 STD</v>
      </c>
      <c r="AA26" s="800" t="s">
        <v>758</v>
      </c>
      <c r="AB26" s="464"/>
      <c r="AC26" s="466" t="s">
        <v>759</v>
      </c>
      <c r="AD26" s="466" t="s">
        <v>760</v>
      </c>
      <c r="AE26" s="466" t="s">
        <v>761</v>
      </c>
      <c r="AF26" s="466" t="s">
        <v>762</v>
      </c>
      <c r="AG26" s="466" t="s">
        <v>763</v>
      </c>
      <c r="AH26" s="466" t="s">
        <v>764</v>
      </c>
      <c r="AI26" s="466" t="s">
        <v>765</v>
      </c>
      <c r="AJ26" s="463" t="s">
        <v>772</v>
      </c>
      <c r="AK26" s="463" t="s">
        <v>773</v>
      </c>
      <c r="AL26" s="463" t="s">
        <v>774</v>
      </c>
      <c r="AM26" s="463" t="s">
        <v>775</v>
      </c>
      <c r="AN26" s="463" t="s">
        <v>776</v>
      </c>
    </row>
    <row r="27" spans="1:41" x14ac:dyDescent="0.25">
      <c r="A27" s="453">
        <v>0</v>
      </c>
      <c r="B27" s="846"/>
      <c r="C27" s="35">
        <v>35</v>
      </c>
      <c r="D27" s="841"/>
      <c r="E27" s="35" t="s">
        <v>48</v>
      </c>
      <c r="F27" s="449" t="s">
        <v>49</v>
      </c>
      <c r="G27" s="449" t="str">
        <f t="shared" ca="1" si="0"/>
        <v>Al. Tube</v>
      </c>
      <c r="H27" s="37">
        <v>34</v>
      </c>
      <c r="I27" s="38">
        <v>0.46160000000000001</v>
      </c>
      <c r="J27" s="39">
        <v>22149.22</v>
      </c>
      <c r="K27" s="40">
        <f t="shared" si="1"/>
        <v>2.2149219999999999E-8</v>
      </c>
      <c r="L27" s="41">
        <f t="shared" ref="L27:L46" si="2">$D$12*K27</f>
        <v>1506.14696</v>
      </c>
      <c r="M27" s="459" t="s">
        <v>772</v>
      </c>
      <c r="N27" s="42"/>
      <c r="O27" s="457">
        <f>IF(A27=0,$G$54,COUNTIF($O$25:O26,"&lt;"&amp;$G$54)+1)</f>
        <v>200</v>
      </c>
      <c r="P27" s="102" t="str">
        <f ca="1">IFERROR(INDEX($G$26:OFFSET($G$26,$G$23-1,0),MATCH(ROW()-ROW($O$25),$O$26:OFFSET($O$26,$G$23-1,0),0)),"")</f>
        <v>S35 HD</v>
      </c>
      <c r="AA27" s="800"/>
      <c r="AB27" s="465" t="s">
        <v>768</v>
      </c>
      <c r="AC27" s="6">
        <v>0</v>
      </c>
      <c r="AD27" s="6">
        <v>0</v>
      </c>
      <c r="AE27" s="6">
        <v>1</v>
      </c>
      <c r="AF27" s="6">
        <v>1</v>
      </c>
      <c r="AG27" s="6">
        <v>0</v>
      </c>
      <c r="AH27" s="6">
        <v>0</v>
      </c>
      <c r="AI27" s="6">
        <v>0</v>
      </c>
      <c r="AJ27" s="6">
        <v>1</v>
      </c>
      <c r="AK27" s="6">
        <v>1</v>
      </c>
      <c r="AL27" s="6">
        <v>1</v>
      </c>
      <c r="AM27" s="6">
        <v>0</v>
      </c>
      <c r="AN27" s="6">
        <v>0</v>
      </c>
    </row>
    <row r="28" spans="1:41" x14ac:dyDescent="0.25">
      <c r="A28" s="453">
        <v>1</v>
      </c>
      <c r="B28" s="846"/>
      <c r="C28" s="35">
        <v>35</v>
      </c>
      <c r="D28" s="842"/>
      <c r="E28" s="35" t="s">
        <v>50</v>
      </c>
      <c r="F28" s="36" t="s">
        <v>780</v>
      </c>
      <c r="G28" s="36" t="str">
        <f t="shared" si="0"/>
        <v>S35 HD</v>
      </c>
      <c r="H28" s="37">
        <v>34</v>
      </c>
      <c r="I28" s="38">
        <v>0.46179999999999999</v>
      </c>
      <c r="J28" s="39">
        <v>21925.24</v>
      </c>
      <c r="K28" s="40">
        <f t="shared" si="1"/>
        <v>2.192524E-8</v>
      </c>
      <c r="L28" s="41">
        <f t="shared" si="2"/>
        <v>1490.91632</v>
      </c>
      <c r="M28" s="459" t="s">
        <v>772</v>
      </c>
      <c r="N28" s="42"/>
      <c r="O28" s="457">
        <f>IF(A28=0,$G$54,COUNTIF($O$25:O27,"&lt;"&amp;$G$54)+1)</f>
        <v>2</v>
      </c>
      <c r="P28" s="102" t="str">
        <f ca="1">IFERROR(INDEX($G$26:OFFSET($G$26,$G$23-1,0),MATCH(ROW()-ROW($O$25),$O$26:OFFSET($O$26,$G$23-1,0),0)),"")</f>
        <v>S40 39 Spline</v>
      </c>
      <c r="AA28" s="800"/>
      <c r="AB28" s="465" t="s">
        <v>769</v>
      </c>
      <c r="AC28" s="6">
        <v>0</v>
      </c>
      <c r="AD28" s="6">
        <v>0</v>
      </c>
      <c r="AE28" s="6">
        <v>0</v>
      </c>
      <c r="AF28" s="6">
        <v>1</v>
      </c>
      <c r="AG28" s="6">
        <v>1</v>
      </c>
      <c r="AH28" s="6">
        <v>0</v>
      </c>
      <c r="AI28" s="6">
        <v>0</v>
      </c>
      <c r="AJ28" s="6">
        <v>0</v>
      </c>
      <c r="AK28" s="6">
        <v>0</v>
      </c>
      <c r="AL28" s="6">
        <v>1</v>
      </c>
      <c r="AM28" s="6">
        <v>0</v>
      </c>
      <c r="AN28" s="6">
        <v>0</v>
      </c>
    </row>
    <row r="29" spans="1:41" x14ac:dyDescent="0.25">
      <c r="A29" s="453">
        <v>1</v>
      </c>
      <c r="B29" s="846"/>
      <c r="C29" s="44">
        <v>40</v>
      </c>
      <c r="D29" s="843" t="s">
        <v>51</v>
      </c>
      <c r="E29" s="35" t="s">
        <v>52</v>
      </c>
      <c r="F29" s="36" t="s">
        <v>781</v>
      </c>
      <c r="G29" s="36" t="str">
        <f t="shared" si="0"/>
        <v>S40 39 Spline</v>
      </c>
      <c r="H29" s="37">
        <v>39.299999999999997</v>
      </c>
      <c r="I29" s="38">
        <v>0.35449999999999998</v>
      </c>
      <c r="J29" s="39">
        <v>21562.62</v>
      </c>
      <c r="K29" s="40">
        <f>J29*0.000000000001</f>
        <v>2.1562619999999997E-8</v>
      </c>
      <c r="L29" s="41">
        <f t="shared" si="2"/>
        <v>1466.2581599999999</v>
      </c>
      <c r="M29" s="459" t="s">
        <v>773</v>
      </c>
      <c r="N29" s="42"/>
      <c r="O29" s="457">
        <f>IF(A29=0,$G$54,COUNTIF($O$25:O28,"&lt;"&amp;$G$54)+1)</f>
        <v>3</v>
      </c>
      <c r="P29" s="102" t="str">
        <f ca="1">IFERROR(INDEX($G$26:OFFSET($G$26,$G$23-1,0),MATCH(ROW()-ROW($O$25),$O$26:OFFSET($O$26,$G$23-1,0),0)),"")</f>
        <v>S40 HD</v>
      </c>
      <c r="AA29" s="800"/>
      <c r="AB29" s="465" t="s">
        <v>770</v>
      </c>
      <c r="AC29" s="6">
        <v>0</v>
      </c>
      <c r="AD29" s="6">
        <v>0</v>
      </c>
      <c r="AE29" s="6">
        <v>0</v>
      </c>
      <c r="AF29" s="6">
        <v>0</v>
      </c>
      <c r="AG29" s="6">
        <v>1</v>
      </c>
      <c r="AH29" s="6">
        <v>0</v>
      </c>
      <c r="AI29" s="6">
        <v>0</v>
      </c>
      <c r="AJ29" s="6">
        <v>0</v>
      </c>
      <c r="AK29" s="6">
        <v>0</v>
      </c>
      <c r="AL29" s="6">
        <v>1</v>
      </c>
      <c r="AM29" s="6">
        <v>0</v>
      </c>
      <c r="AN29" s="6">
        <v>0</v>
      </c>
    </row>
    <row r="30" spans="1:41" x14ac:dyDescent="0.25">
      <c r="A30" s="453">
        <v>0</v>
      </c>
      <c r="B30" s="846"/>
      <c r="C30" s="44">
        <v>40</v>
      </c>
      <c r="D30" s="843"/>
      <c r="E30" s="35" t="s">
        <v>53</v>
      </c>
      <c r="F30" s="449" t="s">
        <v>54</v>
      </c>
      <c r="G30" s="449" t="str">
        <f t="shared" ca="1" si="0"/>
        <v>Al. Tube</v>
      </c>
      <c r="H30" s="37">
        <v>39.299999999999997</v>
      </c>
      <c r="I30" s="38">
        <v>0.33400000000000002</v>
      </c>
      <c r="J30" s="39">
        <v>21098.6</v>
      </c>
      <c r="K30" s="40">
        <f>J30*0.000000000001</f>
        <v>2.1098599999999997E-8</v>
      </c>
      <c r="L30" s="41">
        <f t="shared" si="2"/>
        <v>1434.7047999999998</v>
      </c>
      <c r="M30" s="459" t="s">
        <v>773</v>
      </c>
      <c r="N30" s="42"/>
      <c r="O30" s="457">
        <f>IF(A30=0,$G$54,COUNTIF($O$25:O29,"&lt;"&amp;$G$54)+1)</f>
        <v>200</v>
      </c>
      <c r="P30" s="102" t="str">
        <f ca="1">IFERROR(INDEX($G$26:OFFSET($G$26,$G$23-1,0),MATCH(ROW()-ROW($O$25),$O$26:OFFSET($O$26,$G$23-1,0),0)),"")</f>
        <v>S40 STD</v>
      </c>
      <c r="AA30" s="800"/>
      <c r="AB30" s="465" t="s">
        <v>771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1</v>
      </c>
      <c r="AI30" s="6">
        <v>1</v>
      </c>
      <c r="AJ30" s="6">
        <v>0</v>
      </c>
      <c r="AK30" s="6">
        <v>0</v>
      </c>
      <c r="AL30" s="6">
        <v>0</v>
      </c>
      <c r="AM30" s="6">
        <v>1</v>
      </c>
      <c r="AN30" s="6">
        <v>0</v>
      </c>
    </row>
    <row r="31" spans="1:41" x14ac:dyDescent="0.25">
      <c r="A31" s="453">
        <v>1</v>
      </c>
      <c r="B31" s="846"/>
      <c r="C31" s="44">
        <v>40</v>
      </c>
      <c r="D31" s="843"/>
      <c r="E31" s="35" t="s">
        <v>55</v>
      </c>
      <c r="F31" s="36" t="s">
        <v>782</v>
      </c>
      <c r="G31" s="36" t="str">
        <f t="shared" si="0"/>
        <v>S40 HD</v>
      </c>
      <c r="H31" s="37">
        <v>39.9</v>
      </c>
      <c r="I31" s="38">
        <v>0.53559999999999997</v>
      </c>
      <c r="J31" s="39">
        <v>32346.880000000001</v>
      </c>
      <c r="K31" s="40">
        <f>J31*0.000000000001</f>
        <v>3.234688E-8</v>
      </c>
      <c r="L31" s="41">
        <f t="shared" si="2"/>
        <v>2199.5878400000001</v>
      </c>
      <c r="M31" s="459" t="s">
        <v>773</v>
      </c>
      <c r="N31" s="42"/>
      <c r="O31" s="457">
        <f>IF(A31=0,$G$54,COUNTIF($O$25:O30,"&lt;"&amp;$G$54)+1)</f>
        <v>4</v>
      </c>
      <c r="P31" s="102" t="str">
        <f ca="1">IFERROR(INDEX($G$26:OFFSET($G$26,$G$23-1,0),MATCH(ROW()-ROW($O$25),$O$26:OFFSET($O$26,$G$23-1,0),0)),"")</f>
        <v>S45 LIGHT</v>
      </c>
      <c r="AA31" s="800"/>
      <c r="AB31" s="465" t="s">
        <v>198</v>
      </c>
      <c r="AC31" s="6">
        <v>1</v>
      </c>
      <c r="AD31" s="6">
        <v>1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6">
        <v>0</v>
      </c>
    </row>
    <row r="32" spans="1:41" x14ac:dyDescent="0.25">
      <c r="A32" s="453">
        <v>1</v>
      </c>
      <c r="B32" s="846"/>
      <c r="C32" s="44">
        <v>40</v>
      </c>
      <c r="D32" s="844"/>
      <c r="E32" s="44" t="s">
        <v>56</v>
      </c>
      <c r="F32" s="36" t="s">
        <v>783</v>
      </c>
      <c r="G32" s="36" t="str">
        <f t="shared" si="0"/>
        <v>S40 STD</v>
      </c>
      <c r="H32" s="37">
        <v>39.4</v>
      </c>
      <c r="I32" s="38">
        <v>0.34920000000000001</v>
      </c>
      <c r="J32" s="39">
        <v>22293.65</v>
      </c>
      <c r="K32" s="40">
        <f>J32*0.000000000001</f>
        <v>2.2293650000000002E-8</v>
      </c>
      <c r="L32" s="41">
        <f t="shared" si="2"/>
        <v>1515.9682</v>
      </c>
      <c r="M32" s="459" t="s">
        <v>773</v>
      </c>
      <c r="N32" s="42"/>
      <c r="O32" s="457">
        <f>IF(A32=0,$G$54,COUNTIF($O$25:O31,"&lt;"&amp;$G$54)+1)</f>
        <v>5</v>
      </c>
      <c r="P32" s="102" t="str">
        <f ca="1">IFERROR(INDEX($G$26:OFFSET($G$26,$G$23-1,0),MATCH(ROW()-ROW($O$25),$O$26:OFFSET($O$26,$G$23-1,0),0)),"")</f>
        <v>S45 STD</v>
      </c>
      <c r="R32" s="46"/>
      <c r="S32" s="46"/>
      <c r="T32" s="46"/>
      <c r="U32" s="46"/>
      <c r="V32" s="46"/>
      <c r="W32" s="46"/>
      <c r="X32" s="46"/>
      <c r="Y32" s="46"/>
      <c r="Z32" s="46"/>
      <c r="AA32" s="800"/>
      <c r="AB32" s="465" t="s">
        <v>200</v>
      </c>
      <c r="AC32" s="6">
        <v>1</v>
      </c>
      <c r="AD32" s="6">
        <v>1</v>
      </c>
      <c r="AE32" s="6">
        <v>1</v>
      </c>
      <c r="AF32" s="6">
        <v>1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88" t="s">
        <v>836</v>
      </c>
    </row>
    <row r="33" spans="1:40" x14ac:dyDescent="0.25">
      <c r="A33" s="453">
        <v>1</v>
      </c>
      <c r="B33" s="846"/>
      <c r="C33" s="44">
        <v>45</v>
      </c>
      <c r="D33" s="853" t="s">
        <v>57</v>
      </c>
      <c r="E33" s="35" t="s">
        <v>58</v>
      </c>
      <c r="F33" s="36" t="s">
        <v>784</v>
      </c>
      <c r="G33" s="36" t="str">
        <f t="shared" si="0"/>
        <v>S45 LIGHT</v>
      </c>
      <c r="H33" s="37">
        <v>43.25</v>
      </c>
      <c r="I33" s="38">
        <v>0.4138</v>
      </c>
      <c r="J33" s="39">
        <v>33442.06</v>
      </c>
      <c r="K33" s="40">
        <f t="shared" si="1"/>
        <v>3.3442059999999995E-8</v>
      </c>
      <c r="L33" s="41">
        <f t="shared" si="2"/>
        <v>2274.0600799999997</v>
      </c>
      <c r="M33" s="460" t="s">
        <v>774</v>
      </c>
      <c r="N33" s="45"/>
      <c r="O33" s="457">
        <f>IF(A33=0,$G$54,COUNTIF($O$25:O32,"&lt;"&amp;$G$54)+1)</f>
        <v>6</v>
      </c>
      <c r="P33" s="102" t="str">
        <f ca="1">IFERROR(INDEX($G$26:OFFSET($G$26,$G$23-1,0),MATCH(ROW()-ROW($O$25),$O$26:OFFSET($O$26,$G$23-1,0),0)),"")</f>
        <v>S45 HD</v>
      </c>
      <c r="R33" s="46"/>
      <c r="S33" s="46"/>
      <c r="T33" s="46"/>
      <c r="U33" s="46"/>
      <c r="V33" s="46"/>
      <c r="W33" s="46"/>
      <c r="X33" s="46"/>
      <c r="Y33" s="46"/>
      <c r="Z33" s="46"/>
      <c r="AA33" s="800"/>
      <c r="AB33" s="465" t="s">
        <v>202</v>
      </c>
      <c r="AC33" s="6">
        <v>0</v>
      </c>
      <c r="AD33" s="6">
        <v>0</v>
      </c>
      <c r="AE33" s="6">
        <v>0</v>
      </c>
      <c r="AF33" s="6">
        <v>1</v>
      </c>
      <c r="AG33" s="6">
        <v>1</v>
      </c>
      <c r="AH33" s="6">
        <v>1</v>
      </c>
      <c r="AI33" s="6">
        <v>1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</row>
    <row r="34" spans="1:40" x14ac:dyDescent="0.25">
      <c r="A34" s="453">
        <v>1</v>
      </c>
      <c r="B34" s="846"/>
      <c r="C34" s="44">
        <v>45</v>
      </c>
      <c r="D34" s="843"/>
      <c r="E34" s="35" t="s">
        <v>59</v>
      </c>
      <c r="F34" s="36" t="s">
        <v>278</v>
      </c>
      <c r="G34" s="36" t="str">
        <f t="shared" si="0"/>
        <v>S45 STD</v>
      </c>
      <c r="H34" s="37">
        <v>44.15</v>
      </c>
      <c r="I34" s="38">
        <v>0.60189999999999999</v>
      </c>
      <c r="J34" s="39">
        <v>49036.01</v>
      </c>
      <c r="K34" s="40">
        <f t="shared" si="1"/>
        <v>4.903601E-8</v>
      </c>
      <c r="L34" s="41">
        <f t="shared" si="2"/>
        <v>3334.44868</v>
      </c>
      <c r="M34" s="460" t="s">
        <v>774</v>
      </c>
      <c r="N34" s="45"/>
      <c r="O34" s="457">
        <f>IF(A34=0,$G$54,COUNTIF($O$25:O33,"&lt;"&amp;$G$54)+1)</f>
        <v>7</v>
      </c>
      <c r="P34" s="102" t="str">
        <f ca="1">IFERROR(INDEX($G$26:OFFSET($G$26,$G$23-1,0),MATCH(ROW()-ROW($O$25),$O$26:OFFSET($O$26,$G$23-1,0),0)),"")</f>
        <v>S60 | 60 STD</v>
      </c>
      <c r="R34" s="46"/>
      <c r="S34" s="46"/>
      <c r="T34" s="46"/>
      <c r="U34" s="46"/>
      <c r="V34" s="46"/>
      <c r="W34" s="46"/>
      <c r="X34" s="46"/>
      <c r="Y34" s="46"/>
      <c r="Z34" s="46"/>
      <c r="AA34" s="800"/>
      <c r="AB34" s="465" t="s">
        <v>204</v>
      </c>
      <c r="AC34" s="6">
        <v>0</v>
      </c>
      <c r="AD34" s="6">
        <v>0</v>
      </c>
      <c r="AE34" s="6">
        <v>0</v>
      </c>
      <c r="AF34" s="6">
        <v>1</v>
      </c>
      <c r="AG34" s="6">
        <v>1</v>
      </c>
      <c r="AH34" s="6">
        <v>1</v>
      </c>
      <c r="AI34" s="6">
        <v>1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</row>
    <row r="35" spans="1:40" x14ac:dyDescent="0.25">
      <c r="A35" s="453">
        <v>1</v>
      </c>
      <c r="B35" s="846"/>
      <c r="C35" s="44">
        <v>45</v>
      </c>
      <c r="D35" s="843"/>
      <c r="E35" s="35" t="s">
        <v>60</v>
      </c>
      <c r="F35" s="36" t="s">
        <v>785</v>
      </c>
      <c r="G35" s="36" t="str">
        <f t="shared" si="0"/>
        <v>S45 HD</v>
      </c>
      <c r="H35" s="37">
        <v>49</v>
      </c>
      <c r="I35" s="38">
        <v>1.0462</v>
      </c>
      <c r="J35" s="39">
        <v>100660.56</v>
      </c>
      <c r="K35" s="40">
        <f t="shared" si="1"/>
        <v>1.0066056E-7</v>
      </c>
      <c r="L35" s="41">
        <f t="shared" si="2"/>
        <v>6844.9180799999995</v>
      </c>
      <c r="M35" s="460" t="s">
        <v>774</v>
      </c>
      <c r="N35" s="45"/>
      <c r="O35" s="457">
        <f>IF(A35=0,$G$54,COUNTIF($O$25:O34,"&lt;"&amp;$G$54)+1)</f>
        <v>8</v>
      </c>
      <c r="P35" s="102" t="str">
        <f ca="1">IFERROR(INDEX($G$26:OFFSET($G$26,$G$23-1,0),MATCH(ROW()-ROW($O$25),$O$26:OFFSET($O$26,$G$23-1,0),0)),"")</f>
        <v>S60 | 80 HD</v>
      </c>
      <c r="R35" s="16"/>
      <c r="S35" s="16"/>
      <c r="T35" s="16"/>
      <c r="U35" s="16"/>
      <c r="V35" s="16"/>
      <c r="W35" s="16"/>
      <c r="X35" s="16"/>
      <c r="Y35" s="16"/>
      <c r="Z35" s="16"/>
      <c r="AA35" s="800"/>
      <c r="AB35" s="465" t="s">
        <v>194</v>
      </c>
      <c r="AC35" s="6">
        <v>0</v>
      </c>
      <c r="AD35" s="6">
        <v>0</v>
      </c>
      <c r="AE35" s="6">
        <v>0</v>
      </c>
      <c r="AF35" s="6">
        <v>1</v>
      </c>
      <c r="AG35" s="6">
        <v>1</v>
      </c>
      <c r="AH35" s="6">
        <v>1</v>
      </c>
      <c r="AI35" s="6">
        <v>1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</row>
    <row r="36" spans="1:40" x14ac:dyDescent="0.25">
      <c r="A36" s="453">
        <v>1</v>
      </c>
      <c r="B36" s="846"/>
      <c r="C36" s="35">
        <v>60</v>
      </c>
      <c r="D36" s="840" t="s">
        <v>61</v>
      </c>
      <c r="E36" s="35" t="s">
        <v>62</v>
      </c>
      <c r="F36" s="36" t="s">
        <v>786</v>
      </c>
      <c r="G36" s="36" t="str">
        <f t="shared" si="0"/>
        <v>S60 | 60 STD</v>
      </c>
      <c r="H36" s="37">
        <v>60</v>
      </c>
      <c r="I36" s="38">
        <v>1.1875</v>
      </c>
      <c r="J36" s="39">
        <v>174116.75</v>
      </c>
      <c r="K36" s="40">
        <f t="shared" si="1"/>
        <v>1.7411674999999999E-7</v>
      </c>
      <c r="L36" s="41">
        <f t="shared" si="2"/>
        <v>11839.938999999998</v>
      </c>
      <c r="M36" s="460" t="s">
        <v>775</v>
      </c>
      <c r="N36" s="45"/>
      <c r="O36" s="457">
        <f>IF(A36=0,$G$54,COUNTIF($O$25:O35,"&lt;"&amp;$G$54)+1)</f>
        <v>9</v>
      </c>
      <c r="P36" s="102" t="str">
        <f ca="1">IFERROR(INDEX($G$26:OFFSET($G$26,$G$23-1,0),MATCH(ROW()-ROW($O$25),$O$26:OFFSET($O$26,$G$23-1,0),0)),"")</f>
        <v>S100 | 110 STD</v>
      </c>
      <c r="R36" s="16"/>
      <c r="S36" s="16"/>
      <c r="T36" s="16"/>
      <c r="U36" s="16"/>
      <c r="V36" s="16"/>
      <c r="W36" s="16"/>
      <c r="X36" s="16"/>
      <c r="Y36" s="16"/>
      <c r="Z36" s="16"/>
      <c r="AA36" s="800"/>
      <c r="AB36" s="465" t="s">
        <v>196</v>
      </c>
      <c r="AC36" s="6">
        <v>0</v>
      </c>
      <c r="AD36" s="6">
        <v>0</v>
      </c>
      <c r="AE36" s="6">
        <v>0</v>
      </c>
      <c r="AF36" s="6">
        <v>0</v>
      </c>
      <c r="AG36" s="6">
        <v>1</v>
      </c>
      <c r="AH36" s="6">
        <v>1</v>
      </c>
      <c r="AI36" s="6">
        <v>1</v>
      </c>
      <c r="AJ36" s="6">
        <v>0</v>
      </c>
      <c r="AK36" s="6">
        <v>0</v>
      </c>
      <c r="AL36" s="6">
        <v>0</v>
      </c>
      <c r="AM36" s="6">
        <v>0</v>
      </c>
      <c r="AN36" s="6">
        <v>0</v>
      </c>
    </row>
    <row r="37" spans="1:40" x14ac:dyDescent="0.25">
      <c r="A37" s="453">
        <v>0</v>
      </c>
      <c r="B37" s="846"/>
      <c r="C37" s="35">
        <v>60</v>
      </c>
      <c r="D37" s="841"/>
      <c r="E37" s="44" t="s">
        <v>63</v>
      </c>
      <c r="F37" s="449" t="s">
        <v>64</v>
      </c>
      <c r="G37" s="449" t="str">
        <f t="shared" ca="1" si="0"/>
        <v>Al. Tube</v>
      </c>
      <c r="H37" s="37">
        <v>58.4</v>
      </c>
      <c r="I37" s="38">
        <v>0.81310000000000004</v>
      </c>
      <c r="J37" s="39">
        <v>111792.87</v>
      </c>
      <c r="K37" s="40">
        <f t="shared" si="1"/>
        <v>1.1179286999999999E-7</v>
      </c>
      <c r="L37" s="41">
        <f t="shared" si="2"/>
        <v>7601.9151599999996</v>
      </c>
      <c r="M37" s="460" t="s">
        <v>775</v>
      </c>
      <c r="N37" s="45"/>
      <c r="O37" s="457">
        <f>IF(A37=0,$G$54,COUNTIF($O$25:O36,"&lt;"&amp;$G$54)+1)</f>
        <v>200</v>
      </c>
      <c r="P37" s="102" t="str">
        <f ca="1">IFERROR(INDEX($G$26:OFFSET($G$26,$G$23-1,0),MATCH(ROW()-ROW($O$25),$O$26:OFFSET($O$26,$G$23-1,0),0)),"")</f>
        <v>S100 | 130 HD</v>
      </c>
      <c r="R37" s="16"/>
      <c r="S37" s="16"/>
      <c r="T37" s="16"/>
      <c r="U37" s="16"/>
      <c r="V37" s="16"/>
      <c r="W37" s="16"/>
      <c r="X37" s="16"/>
      <c r="Y37" s="16"/>
      <c r="Z37" s="16"/>
      <c r="AA37" s="800"/>
      <c r="AB37" s="465" t="s">
        <v>180</v>
      </c>
      <c r="AC37" s="6">
        <v>1</v>
      </c>
      <c r="AD37" s="6">
        <v>1</v>
      </c>
      <c r="AE37" s="6">
        <v>1</v>
      </c>
      <c r="AF37" s="6">
        <v>1</v>
      </c>
      <c r="AG37" s="6">
        <v>0</v>
      </c>
      <c r="AH37" s="6">
        <v>0</v>
      </c>
      <c r="AI37" s="6">
        <v>0</v>
      </c>
      <c r="AJ37" s="6">
        <v>0</v>
      </c>
      <c r="AK37" s="6">
        <v>1</v>
      </c>
      <c r="AL37" s="6">
        <v>1</v>
      </c>
      <c r="AM37" s="6">
        <v>0</v>
      </c>
      <c r="AN37" s="6">
        <v>0</v>
      </c>
    </row>
    <row r="38" spans="1:40" x14ac:dyDescent="0.25">
      <c r="A38" s="453">
        <v>0</v>
      </c>
      <c r="B38" s="846"/>
      <c r="C38" s="35">
        <v>60</v>
      </c>
      <c r="D38" s="841"/>
      <c r="E38" s="35" t="s">
        <v>65</v>
      </c>
      <c r="F38" s="450" t="s">
        <v>66</v>
      </c>
      <c r="G38" s="450" t="str">
        <f t="shared" ca="1" si="0"/>
        <v>AL. Tube</v>
      </c>
      <c r="H38" s="37">
        <v>65</v>
      </c>
      <c r="I38" s="47">
        <v>1.0732999999999999</v>
      </c>
      <c r="J38" s="48">
        <v>179063.95</v>
      </c>
      <c r="K38" s="40">
        <f>J38*0.000000000001</f>
        <v>1.7906395E-7</v>
      </c>
      <c r="L38" s="41">
        <f t="shared" si="2"/>
        <v>12176.348599999999</v>
      </c>
      <c r="M38" s="460" t="s">
        <v>775</v>
      </c>
      <c r="N38" s="45"/>
      <c r="O38" s="457">
        <f>IF(A38=0,$G$54,COUNTIF($O$25:O37,"&lt;"&amp;$G$54)+1)</f>
        <v>200</v>
      </c>
      <c r="P38" s="102" t="str">
        <f ca="1">IFERROR(INDEX($G$26:OFFSET($G$26,$G$23-1,0),MATCH(ROW()-ROW($O$25),$O$26:OFFSET($O$26,$G$23-1,0),0)),"")</f>
        <v>S100 | 160 HD</v>
      </c>
      <c r="R38" s="16"/>
      <c r="S38" s="16"/>
      <c r="T38" s="16"/>
      <c r="U38" s="16"/>
      <c r="V38" s="16"/>
      <c r="W38" s="16"/>
      <c r="X38" s="16"/>
      <c r="Y38" s="16"/>
      <c r="Z38" s="16"/>
      <c r="AA38" s="800"/>
      <c r="AB38" s="465" t="s">
        <v>182</v>
      </c>
      <c r="AC38" s="6">
        <v>1</v>
      </c>
      <c r="AD38" s="6">
        <v>1</v>
      </c>
      <c r="AE38" s="6">
        <v>1</v>
      </c>
      <c r="AF38" s="6">
        <v>1</v>
      </c>
      <c r="AG38" s="6">
        <v>0</v>
      </c>
      <c r="AH38" s="6">
        <v>0</v>
      </c>
      <c r="AI38" s="6">
        <v>0</v>
      </c>
      <c r="AJ38" s="6">
        <v>0</v>
      </c>
      <c r="AK38" s="6">
        <v>1</v>
      </c>
      <c r="AL38" s="6">
        <v>1</v>
      </c>
      <c r="AM38" s="6">
        <v>0</v>
      </c>
      <c r="AN38" s="6">
        <v>0</v>
      </c>
    </row>
    <row r="39" spans="1:40" x14ac:dyDescent="0.25">
      <c r="A39" s="453">
        <v>0</v>
      </c>
      <c r="B39" s="846"/>
      <c r="C39" s="35">
        <v>60</v>
      </c>
      <c r="D39" s="841"/>
      <c r="E39" s="35" t="s">
        <v>67</v>
      </c>
      <c r="F39" s="451" t="s">
        <v>68</v>
      </c>
      <c r="G39" s="451" t="str">
        <f t="shared" ca="1" si="0"/>
        <v>Steel Tube</v>
      </c>
      <c r="H39" s="37">
        <v>63</v>
      </c>
      <c r="I39" s="47">
        <v>1.593</v>
      </c>
      <c r="J39" s="48">
        <v>74617</v>
      </c>
      <c r="K39" s="40">
        <f t="shared" si="1"/>
        <v>7.4616999999999999E-8</v>
      </c>
      <c r="L39" s="41">
        <f t="shared" si="2"/>
        <v>5073.9560000000001</v>
      </c>
      <c r="M39" s="460" t="s">
        <v>775</v>
      </c>
      <c r="N39" s="45"/>
      <c r="O39" s="457">
        <f>IF(A39=0,$G$54,COUNTIF($O$25:O38,"&lt;"&amp;$G$54)+1)</f>
        <v>200</v>
      </c>
      <c r="P39" s="102" t="str">
        <f ca="1">IFERROR(INDEX($G$26:OFFSET($G$26,$G$23-1,0),MATCH(ROW()-ROW($O$25),$O$26:OFFSET($O$26,$G$23-1,0),0)),"")</f>
        <v>1" (25mm) Tube</v>
      </c>
      <c r="R39" s="16"/>
      <c r="S39" s="16"/>
      <c r="T39" s="16"/>
      <c r="U39" s="16"/>
      <c r="V39" s="16"/>
      <c r="W39" s="16"/>
      <c r="X39" s="16"/>
      <c r="Y39" s="16"/>
      <c r="Z39" s="16"/>
      <c r="AA39" s="800"/>
      <c r="AB39" s="465" t="s">
        <v>184</v>
      </c>
      <c r="AC39" s="6">
        <v>1</v>
      </c>
      <c r="AD39" s="6">
        <v>1</v>
      </c>
      <c r="AE39" s="6">
        <v>1</v>
      </c>
      <c r="AF39" s="6">
        <v>1</v>
      </c>
      <c r="AG39" s="6">
        <v>0</v>
      </c>
      <c r="AH39" s="6">
        <v>0</v>
      </c>
      <c r="AI39" s="6">
        <v>0</v>
      </c>
      <c r="AJ39" s="6">
        <v>0</v>
      </c>
      <c r="AK39" s="6">
        <v>1</v>
      </c>
      <c r="AL39" s="6">
        <v>1</v>
      </c>
      <c r="AM39" s="6">
        <v>0</v>
      </c>
      <c r="AN39" s="6">
        <v>0</v>
      </c>
    </row>
    <row r="40" spans="1:40" x14ac:dyDescent="0.25">
      <c r="A40" s="453">
        <v>1</v>
      </c>
      <c r="B40" s="846"/>
      <c r="C40" s="35">
        <v>60</v>
      </c>
      <c r="D40" s="841"/>
      <c r="E40" s="35" t="s">
        <v>69</v>
      </c>
      <c r="F40" s="36" t="s">
        <v>787</v>
      </c>
      <c r="G40" s="36" t="str">
        <f t="shared" si="0"/>
        <v>S60 | 80 HD</v>
      </c>
      <c r="H40" s="37">
        <v>80</v>
      </c>
      <c r="I40" s="38">
        <v>2.0424000000000002</v>
      </c>
      <c r="J40" s="39">
        <v>486059</v>
      </c>
      <c r="K40" s="40">
        <f>J40*0.000000000001</f>
        <v>4.8605900000000002E-7</v>
      </c>
      <c r="L40" s="41">
        <f t="shared" si="2"/>
        <v>33052.012000000002</v>
      </c>
      <c r="M40" s="460" t="s">
        <v>775</v>
      </c>
      <c r="N40" s="45"/>
      <c r="O40" s="457">
        <f>IF(A40=0,$G$54,COUNTIF($O$25:O39,"&lt;"&amp;$G$54)+1)</f>
        <v>10</v>
      </c>
      <c r="P40" s="102" t="str">
        <f ca="1">IFERROR(INDEX($G$26:OFFSET($G$26,$G$23-1,0),MATCH(ROW()-ROW($O$25),$O$26:OFFSET($O$26,$G$23-1,0),0)),"")</f>
        <v>1.125" (28mm) Tube</v>
      </c>
      <c r="R40" s="16"/>
      <c r="S40" s="16"/>
      <c r="T40" s="16"/>
      <c r="U40" s="16"/>
      <c r="V40" s="16"/>
      <c r="W40" s="16"/>
      <c r="X40" s="16"/>
      <c r="Y40" s="16"/>
      <c r="Z40" s="16"/>
      <c r="AA40" s="800"/>
      <c r="AB40" s="465" t="s">
        <v>186</v>
      </c>
      <c r="AC40" s="6">
        <v>1</v>
      </c>
      <c r="AD40" s="6">
        <v>1</v>
      </c>
      <c r="AE40" s="6">
        <v>1</v>
      </c>
      <c r="AF40" s="6">
        <v>1</v>
      </c>
      <c r="AG40" s="6">
        <v>0</v>
      </c>
      <c r="AH40" s="6">
        <v>0</v>
      </c>
      <c r="AI40" s="6">
        <v>0</v>
      </c>
      <c r="AJ40" s="6">
        <v>0</v>
      </c>
      <c r="AK40" s="6">
        <v>1</v>
      </c>
      <c r="AL40" s="6">
        <v>1</v>
      </c>
      <c r="AM40" s="6">
        <v>0</v>
      </c>
      <c r="AN40" s="6">
        <v>0</v>
      </c>
    </row>
    <row r="41" spans="1:40" x14ac:dyDescent="0.25">
      <c r="A41" s="453">
        <v>0</v>
      </c>
      <c r="B41" s="846"/>
      <c r="C41" s="35">
        <v>60</v>
      </c>
      <c r="D41" s="841"/>
      <c r="E41" s="35" t="s">
        <v>70</v>
      </c>
      <c r="F41" s="449" t="s">
        <v>71</v>
      </c>
      <c r="G41" s="449" t="str">
        <f t="shared" ca="1" si="0"/>
        <v>Al. Tube</v>
      </c>
      <c r="H41" s="37">
        <v>80</v>
      </c>
      <c r="I41" s="38">
        <v>1.4431</v>
      </c>
      <c r="J41" s="39">
        <v>346710.79</v>
      </c>
      <c r="K41" s="40">
        <f>J41*0.000000000001</f>
        <v>3.4671078999999997E-7</v>
      </c>
      <c r="L41" s="41">
        <f t="shared" si="2"/>
        <v>23576.333719999999</v>
      </c>
      <c r="M41" s="460" t="s">
        <v>775</v>
      </c>
      <c r="N41" s="45"/>
      <c r="O41" s="457">
        <f>IF(A41=0,$G$54,COUNTIF($O$25:O40,"&lt;"&amp;$G$54)+1)</f>
        <v>200</v>
      </c>
      <c r="P41" s="102" t="str">
        <f ca="1">IFERROR(INDEX($G$26:OFFSET($G$26,$G$23-1,0),MATCH(ROW()-ROW($O$25),$O$26:OFFSET($O$26,$G$23-1,0),0)),"")</f>
        <v>1.25" (32mm) Tube</v>
      </c>
      <c r="R41" s="16"/>
      <c r="S41" s="16"/>
      <c r="T41" s="16"/>
      <c r="U41" s="16"/>
      <c r="V41" s="16"/>
      <c r="W41" s="16"/>
      <c r="X41" s="16"/>
      <c r="Y41" s="16"/>
      <c r="Z41" s="16"/>
      <c r="AA41" s="800"/>
      <c r="AB41" s="465" t="s">
        <v>188</v>
      </c>
      <c r="AC41" s="6">
        <v>0</v>
      </c>
      <c r="AD41" s="6">
        <v>0</v>
      </c>
      <c r="AE41" s="6">
        <v>0</v>
      </c>
      <c r="AF41" s="6">
        <v>1</v>
      </c>
      <c r="AG41" s="6">
        <v>1</v>
      </c>
      <c r="AH41" s="6">
        <v>1</v>
      </c>
      <c r="AI41" s="6">
        <v>1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</row>
    <row r="42" spans="1:40" x14ac:dyDescent="0.25">
      <c r="A42" s="453">
        <v>0</v>
      </c>
      <c r="B42" s="846"/>
      <c r="C42" s="35">
        <v>60</v>
      </c>
      <c r="D42" s="841"/>
      <c r="E42" s="35" t="s">
        <v>72</v>
      </c>
      <c r="F42" s="450" t="s">
        <v>73</v>
      </c>
      <c r="G42" s="450" t="str">
        <f t="shared" ca="1" si="0"/>
        <v>Al. Tube</v>
      </c>
      <c r="H42" s="37">
        <v>80</v>
      </c>
      <c r="I42" s="47">
        <v>1.4836</v>
      </c>
      <c r="J42" s="48">
        <v>373911.92</v>
      </c>
      <c r="K42" s="40">
        <f t="shared" si="1"/>
        <v>3.7391191999999997E-7</v>
      </c>
      <c r="L42" s="41">
        <f t="shared" si="2"/>
        <v>25426.010559999999</v>
      </c>
      <c r="M42" s="460" t="s">
        <v>775</v>
      </c>
      <c r="N42" s="45"/>
      <c r="O42" s="457">
        <f>IF(A42=0,$G$54,COUNTIF($O$25:O41,"&lt;"&amp;$G$54)+1)</f>
        <v>200</v>
      </c>
      <c r="P42" s="102" t="str">
        <f ca="1">IFERROR(INDEX($G$26:OFFSET($G$26,$G$23-1,0),MATCH(ROW()-ROW($O$25),$O$26:OFFSET($O$26,$G$23-1,0),0)),"")</f>
        <v>1.5" (38mm) Tube</v>
      </c>
      <c r="R42" s="16"/>
      <c r="S42" s="16"/>
      <c r="T42" s="16"/>
      <c r="U42" s="16"/>
      <c r="V42" s="16"/>
      <c r="W42" s="16"/>
      <c r="X42" s="16"/>
      <c r="Y42" s="16"/>
      <c r="Z42" s="16"/>
      <c r="AA42" s="800"/>
      <c r="AB42" s="465" t="s">
        <v>190</v>
      </c>
      <c r="AC42" s="6">
        <v>0</v>
      </c>
      <c r="AD42" s="6">
        <v>0</v>
      </c>
      <c r="AE42" s="6">
        <v>0</v>
      </c>
      <c r="AF42" s="6">
        <v>1</v>
      </c>
      <c r="AG42" s="6">
        <v>1</v>
      </c>
      <c r="AH42" s="6">
        <v>1</v>
      </c>
      <c r="AI42" s="6">
        <v>1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</row>
    <row r="43" spans="1:40" x14ac:dyDescent="0.25">
      <c r="A43" s="453">
        <v>0</v>
      </c>
      <c r="B43" s="846"/>
      <c r="C43" s="35">
        <v>60</v>
      </c>
      <c r="D43" s="842"/>
      <c r="E43" s="49" t="s">
        <v>74</v>
      </c>
      <c r="F43" s="452" t="s">
        <v>75</v>
      </c>
      <c r="G43" s="452" t="str">
        <f t="shared" ca="1" si="0"/>
        <v>Steel Tube</v>
      </c>
      <c r="H43" s="37">
        <v>78</v>
      </c>
      <c r="I43" s="38">
        <v>2.3477000000000001</v>
      </c>
      <c r="J43" s="39">
        <v>180026.19</v>
      </c>
      <c r="K43" s="40">
        <f t="shared" si="1"/>
        <v>1.8002619E-7</v>
      </c>
      <c r="L43" s="41">
        <f t="shared" si="2"/>
        <v>12241.780919999999</v>
      </c>
      <c r="M43" s="460" t="s">
        <v>775</v>
      </c>
      <c r="N43" s="45"/>
      <c r="O43" s="457">
        <f>IF(A43=0,$G$54,COUNTIF($O$25:O42,"&lt;"&amp;$G$54)+1)</f>
        <v>200</v>
      </c>
      <c r="P43" s="102" t="str">
        <f ca="1">IFERROR(INDEX($G$26:OFFSET($G$26,$G$23-1,0),MATCH(ROW()-ROW($O$25),$O$26:OFFSET($O$26,$G$23-1,0),0)),"")</f>
        <v>2" (50mm) Tube</v>
      </c>
      <c r="R43" s="16"/>
      <c r="S43" s="16"/>
      <c r="T43" s="16"/>
      <c r="U43" s="16"/>
      <c r="V43" s="16"/>
      <c r="W43" s="16"/>
      <c r="X43" s="16"/>
      <c r="Y43" s="16"/>
      <c r="Z43" s="16"/>
      <c r="AA43" s="800"/>
      <c r="AB43" s="465" t="s">
        <v>192</v>
      </c>
      <c r="AC43" s="6">
        <v>0</v>
      </c>
      <c r="AD43" s="6">
        <v>0</v>
      </c>
      <c r="AE43" s="6">
        <v>0</v>
      </c>
      <c r="AF43" s="6">
        <v>1</v>
      </c>
      <c r="AG43" s="6">
        <v>1</v>
      </c>
      <c r="AH43" s="6">
        <v>1</v>
      </c>
      <c r="AI43" s="6">
        <v>1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</row>
    <row r="44" spans="1:40" x14ac:dyDescent="0.25">
      <c r="A44" s="453">
        <v>1</v>
      </c>
      <c r="B44" s="846"/>
      <c r="C44" s="35">
        <v>100</v>
      </c>
      <c r="D44" s="840" t="s">
        <v>76</v>
      </c>
      <c r="E44" s="44" t="s">
        <v>77</v>
      </c>
      <c r="F44" s="36" t="s">
        <v>788</v>
      </c>
      <c r="G44" s="36" t="str">
        <f t="shared" si="0"/>
        <v>S100 | 110 STD</v>
      </c>
      <c r="H44" s="37">
        <v>110</v>
      </c>
      <c r="I44" s="38">
        <v>2.9984000000000002</v>
      </c>
      <c r="J44" s="39">
        <v>1445059.06</v>
      </c>
      <c r="K44" s="40">
        <f t="shared" si="1"/>
        <v>1.4450590600000001E-6</v>
      </c>
      <c r="L44" s="41">
        <f t="shared" si="2"/>
        <v>98264.016080000001</v>
      </c>
      <c r="M44" s="459" t="s">
        <v>776</v>
      </c>
      <c r="N44" s="42"/>
      <c r="O44" s="457">
        <f>IF(A44=0,$G$54,COUNTIF($O$25:O43,"&lt;"&amp;$G$54)+1)</f>
        <v>11</v>
      </c>
      <c r="P44" s="102" t="str">
        <f ca="1">IFERROR(INDEX($G$26:OFFSET($G$26,$G$23-1,0),MATCH(ROW()-ROW($O$25),$O$26:OFFSET($O$26,$G$23-1,0),0)),"")</f>
        <v>2.5" (63mm) Tube</v>
      </c>
      <c r="R44" s="16"/>
      <c r="S44" s="16"/>
      <c r="T44" s="16"/>
      <c r="U44" s="16"/>
      <c r="V44" s="16"/>
      <c r="W44" s="16"/>
      <c r="X44" s="16"/>
      <c r="Y44" s="16"/>
      <c r="Z44" s="16"/>
      <c r="AA44" s="800"/>
      <c r="AB44" s="465" t="s">
        <v>158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1</v>
      </c>
      <c r="AK44" s="9">
        <v>0</v>
      </c>
      <c r="AL44" s="9">
        <v>0</v>
      </c>
      <c r="AM44" s="9">
        <v>0</v>
      </c>
      <c r="AN44" s="9">
        <v>0</v>
      </c>
    </row>
    <row r="45" spans="1:40" x14ac:dyDescent="0.25">
      <c r="A45" s="453">
        <v>1</v>
      </c>
      <c r="B45" s="846"/>
      <c r="C45" s="35">
        <v>100</v>
      </c>
      <c r="D45" s="841"/>
      <c r="E45" s="44" t="s">
        <v>78</v>
      </c>
      <c r="F45" s="36" t="s">
        <v>789</v>
      </c>
      <c r="G45" s="36" t="str">
        <f t="shared" si="0"/>
        <v>S100 | 130 HD</v>
      </c>
      <c r="H45" s="37">
        <v>130</v>
      </c>
      <c r="I45" s="38">
        <v>5.0403000000000002</v>
      </c>
      <c r="J45" s="39">
        <v>3288498.77</v>
      </c>
      <c r="K45" s="40">
        <f t="shared" si="1"/>
        <v>3.2884987699999999E-6</v>
      </c>
      <c r="L45" s="41">
        <f t="shared" si="2"/>
        <v>223617.91636</v>
      </c>
      <c r="M45" s="459" t="s">
        <v>776</v>
      </c>
      <c r="N45" s="42"/>
      <c r="O45" s="457">
        <f>IF(A45=0,$G$54,COUNTIF($O$25:O44,"&lt;"&amp;$G$54)+1)</f>
        <v>12</v>
      </c>
      <c r="P45" s="102" t="str">
        <f ca="1">IFERROR(INDEX($G$26:OFFSET($G$26,$G$23-1,0),MATCH(ROW()-ROW($O$25),$O$26:OFFSET($O$26,$G$23-1,0),0)),"")</f>
        <v>3.25" (83mm) Tube</v>
      </c>
      <c r="R45" s="16"/>
      <c r="S45" s="16"/>
      <c r="T45" s="16"/>
      <c r="U45" s="16"/>
      <c r="V45" s="16"/>
      <c r="W45" s="16"/>
      <c r="X45" s="16"/>
      <c r="Y45" s="16"/>
      <c r="Z45" s="16"/>
      <c r="AA45" s="800"/>
      <c r="AB45" s="465" t="s">
        <v>160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1</v>
      </c>
      <c r="AL45" s="9">
        <v>1</v>
      </c>
      <c r="AM45" s="9">
        <v>0</v>
      </c>
      <c r="AN45" s="9">
        <v>0</v>
      </c>
    </row>
    <row r="46" spans="1:40" ht="15.75" thickBot="1" x14ac:dyDescent="0.3">
      <c r="A46" s="453">
        <v>1</v>
      </c>
      <c r="B46" s="850"/>
      <c r="C46" s="50">
        <v>100</v>
      </c>
      <c r="D46" s="841"/>
      <c r="E46" s="51" t="s">
        <v>79</v>
      </c>
      <c r="F46" s="52" t="s">
        <v>790</v>
      </c>
      <c r="G46" s="52" t="str">
        <f t="shared" si="0"/>
        <v>S100 | 160 HD</v>
      </c>
      <c r="H46" s="53">
        <v>160</v>
      </c>
      <c r="I46" s="54">
        <v>5.3699000000000003</v>
      </c>
      <c r="J46" s="55">
        <v>5628857.2000000002</v>
      </c>
      <c r="K46" s="56">
        <f t="shared" si="1"/>
        <v>5.6288572000000002E-6</v>
      </c>
      <c r="L46" s="57">
        <f t="shared" si="2"/>
        <v>382762.28960000002</v>
      </c>
      <c r="M46" s="459" t="s">
        <v>776</v>
      </c>
      <c r="N46" s="42"/>
      <c r="O46" s="457">
        <f>IF(A46=0,$G$54,COUNTIF($O$25:O45,"&lt;"&amp;$G$54)+1)</f>
        <v>13</v>
      </c>
      <c r="P46" s="102" t="str">
        <f ca="1">IFERROR(INDEX($G$26:OFFSET($G$26,$G$23-1,0),MATCH(ROW()-ROW($O$25),$O$26:OFFSET($O$26,$G$23-1,0),0)),"")</f>
        <v/>
      </c>
      <c r="R46" s="16"/>
      <c r="S46" s="16"/>
      <c r="T46" s="16"/>
      <c r="U46" s="16"/>
      <c r="V46" s="16"/>
      <c r="W46" s="16"/>
      <c r="X46" s="16"/>
      <c r="Y46" s="16"/>
      <c r="Z46" s="16"/>
      <c r="AA46" s="800"/>
      <c r="AB46" s="465" t="s">
        <v>162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1</v>
      </c>
      <c r="AL46" s="9">
        <v>1</v>
      </c>
      <c r="AM46" s="9">
        <v>0</v>
      </c>
      <c r="AN46" s="9">
        <v>0</v>
      </c>
    </row>
    <row r="47" spans="1:40" ht="15.75" thickTop="1" x14ac:dyDescent="0.25">
      <c r="A47" s="453">
        <v>1</v>
      </c>
      <c r="B47" s="845" t="s">
        <v>80</v>
      </c>
      <c r="C47" s="58"/>
      <c r="D47" s="847" t="s">
        <v>80</v>
      </c>
      <c r="E47" s="59" t="s">
        <v>81</v>
      </c>
      <c r="F47" s="60" t="s">
        <v>838</v>
      </c>
      <c r="G47" s="36" t="str">
        <f t="shared" ca="1" si="0"/>
        <v>1" (25mm) Tube</v>
      </c>
      <c r="H47" s="61">
        <v>26.68</v>
      </c>
      <c r="I47" s="62">
        <v>0.27500000000000002</v>
      </c>
      <c r="J47" s="63">
        <v>8191.43</v>
      </c>
      <c r="K47" s="64">
        <f t="shared" si="1"/>
        <v>8.1914300000000001E-9</v>
      </c>
      <c r="L47" s="65">
        <f>$D$12*K47</f>
        <v>557.01724000000002</v>
      </c>
      <c r="M47" s="459" t="s">
        <v>759</v>
      </c>
      <c r="N47" s="42"/>
      <c r="O47" s="457">
        <f>IF(A47=0,$G$54,COUNTIF($O$25:O46,"&lt;"&amp;$G$54)+1)</f>
        <v>14</v>
      </c>
      <c r="P47" s="102" t="str">
        <f ca="1">IFERROR(INDEX($G$26:OFFSET($G$26,$G$23-1,0),MATCH(ROW()-ROW($O$25),$O$26:OFFSET($O$26,$G$23-1,0),0)),"")</f>
        <v/>
      </c>
      <c r="R47" s="16"/>
      <c r="S47" s="16"/>
      <c r="T47" s="16"/>
      <c r="U47" s="16"/>
      <c r="V47" s="16"/>
      <c r="W47" s="16"/>
      <c r="X47" s="16"/>
      <c r="Y47" s="16"/>
      <c r="Z47" s="16"/>
      <c r="AA47" s="800"/>
      <c r="AB47" s="465" t="s">
        <v>164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1</v>
      </c>
      <c r="AK47" s="9">
        <v>0</v>
      </c>
      <c r="AL47" s="9">
        <v>0</v>
      </c>
      <c r="AM47" s="9">
        <v>0</v>
      </c>
      <c r="AN47" s="9">
        <v>0</v>
      </c>
    </row>
    <row r="48" spans="1:40" x14ac:dyDescent="0.25">
      <c r="A48" s="453">
        <v>1</v>
      </c>
      <c r="B48" s="846"/>
      <c r="C48" s="35"/>
      <c r="D48" s="848"/>
      <c r="E48" s="66" t="s">
        <v>82</v>
      </c>
      <c r="F48" s="67" t="s">
        <v>839</v>
      </c>
      <c r="G48" s="67" t="str">
        <f t="shared" ca="1" si="0"/>
        <v>1.125" (28mm) Tube</v>
      </c>
      <c r="H48" s="68">
        <v>29.46</v>
      </c>
      <c r="I48" s="69">
        <v>0.30349999999999999</v>
      </c>
      <c r="J48" s="70">
        <v>11100.9</v>
      </c>
      <c r="K48" s="71">
        <f t="shared" si="1"/>
        <v>1.1100899999999999E-8</v>
      </c>
      <c r="L48" s="72">
        <f t="shared" ref="L48:L53" si="3">$D$12*K48</f>
        <v>754.86119999999994</v>
      </c>
      <c r="M48" s="459" t="s">
        <v>760</v>
      </c>
      <c r="N48" s="42"/>
      <c r="O48" s="457">
        <f>IF(A48=0,$G$54,COUNTIF($O$25:O47,"&lt;"&amp;$G$54)+1)</f>
        <v>15</v>
      </c>
      <c r="P48" s="102" t="str">
        <f ca="1">IFERROR(INDEX($G$26:OFFSET($G$26,$G$23-1,0),MATCH(ROW()-ROW($O$25),$O$26:OFFSET($O$26,$G$23-1,0),0)),"")</f>
        <v/>
      </c>
      <c r="R48" s="16"/>
      <c r="S48" s="16"/>
      <c r="T48" s="16"/>
      <c r="U48" s="16"/>
      <c r="V48" s="16"/>
      <c r="W48" s="16"/>
      <c r="X48" s="16"/>
      <c r="Y48" s="16"/>
      <c r="Z48" s="16"/>
      <c r="AA48" s="800"/>
      <c r="AB48" s="465" t="s">
        <v>166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1</v>
      </c>
      <c r="AL48" s="9">
        <v>1</v>
      </c>
      <c r="AM48" s="9">
        <v>0</v>
      </c>
      <c r="AN48" s="9">
        <v>0</v>
      </c>
    </row>
    <row r="49" spans="1:44" x14ac:dyDescent="0.25">
      <c r="A49" s="453">
        <v>1</v>
      </c>
      <c r="B49" s="846"/>
      <c r="C49" s="35"/>
      <c r="D49" s="848"/>
      <c r="E49" s="66" t="s">
        <v>83</v>
      </c>
      <c r="F49" s="67" t="s">
        <v>840</v>
      </c>
      <c r="G49" s="67" t="str">
        <f t="shared" ca="1" si="0"/>
        <v>1.25" (32mm) Tube</v>
      </c>
      <c r="H49" s="68">
        <v>32.76</v>
      </c>
      <c r="I49" s="69">
        <v>0.35560000000000003</v>
      </c>
      <c r="J49" s="70">
        <v>15608.7</v>
      </c>
      <c r="K49" s="71">
        <f t="shared" si="1"/>
        <v>1.5608700000000001E-8</v>
      </c>
      <c r="L49" s="72">
        <f t="shared" si="3"/>
        <v>1061.3916000000002</v>
      </c>
      <c r="M49" s="459" t="s">
        <v>761</v>
      </c>
      <c r="N49" s="42"/>
      <c r="O49" s="457">
        <f>IF(A49=0,$G$54,COUNTIF($O$25:O48,"&lt;"&amp;$G$54)+1)</f>
        <v>16</v>
      </c>
      <c r="P49" s="102" t="str">
        <f ca="1">IFERROR(INDEX($G$26:OFFSET($G$26,$G$23-1,0),MATCH(ROW()-ROW($O$25),$O$26:OFFSET($O$26,$G$23-1,0),0)),"")</f>
        <v/>
      </c>
      <c r="R49" s="16"/>
      <c r="S49" s="16"/>
      <c r="T49" s="16"/>
      <c r="U49" s="16"/>
      <c r="V49" s="16"/>
      <c r="W49" s="16"/>
      <c r="X49" s="16"/>
      <c r="Y49" s="16"/>
      <c r="Z49" s="16"/>
      <c r="AA49" s="800"/>
      <c r="AB49" s="465" t="s">
        <v>168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1</v>
      </c>
      <c r="AK49" s="9">
        <v>1</v>
      </c>
      <c r="AL49" s="9">
        <v>1</v>
      </c>
      <c r="AM49" s="9">
        <v>0</v>
      </c>
      <c r="AN49" s="9">
        <v>0</v>
      </c>
    </row>
    <row r="50" spans="1:44" x14ac:dyDescent="0.25">
      <c r="A50" s="453">
        <v>1</v>
      </c>
      <c r="B50" s="846"/>
      <c r="C50" s="35"/>
      <c r="D50" s="848"/>
      <c r="E50" s="66" t="s">
        <v>84</v>
      </c>
      <c r="F50" s="67" t="s">
        <v>841</v>
      </c>
      <c r="G50" s="67" t="str">
        <f t="shared" ca="1" si="0"/>
        <v>1.5" (38mm) Tube</v>
      </c>
      <c r="H50" s="68">
        <v>38.61</v>
      </c>
      <c r="I50" s="69">
        <v>0.42499999999999999</v>
      </c>
      <c r="J50" s="70">
        <v>26222.6</v>
      </c>
      <c r="K50" s="71">
        <f t="shared" si="1"/>
        <v>2.6222599999999998E-8</v>
      </c>
      <c r="L50" s="72">
        <f t="shared" si="3"/>
        <v>1783.1367999999998</v>
      </c>
      <c r="M50" s="459" t="s">
        <v>762</v>
      </c>
      <c r="N50" s="42"/>
      <c r="O50" s="457">
        <f>IF(A50=0,$G$54,COUNTIF($O$25:O49,"&lt;"&amp;$G$54)+1)</f>
        <v>17</v>
      </c>
      <c r="P50" s="102" t="str">
        <f ca="1">IFERROR(INDEX($G$26:OFFSET($G$26,$G$23-1,0),MATCH(ROW()-ROW($O$25),$O$26:OFFSET($O$26,$G$23-1,0),0)),"")</f>
        <v/>
      </c>
      <c r="R50" s="16"/>
      <c r="AA50" s="800"/>
      <c r="AB50" s="465" t="s">
        <v>170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1</v>
      </c>
      <c r="AL50" s="9">
        <v>1</v>
      </c>
      <c r="AM50" s="9">
        <v>0</v>
      </c>
      <c r="AN50" s="9">
        <v>0</v>
      </c>
    </row>
    <row r="51" spans="1:44" x14ac:dyDescent="0.25">
      <c r="A51" s="453">
        <v>1</v>
      </c>
      <c r="B51" s="846"/>
      <c r="C51" s="35"/>
      <c r="D51" s="848"/>
      <c r="E51" s="66" t="s">
        <v>85</v>
      </c>
      <c r="F51" s="67" t="s">
        <v>842</v>
      </c>
      <c r="G51" s="67" t="str">
        <f t="shared" ca="1" si="0"/>
        <v>2" (50mm) Tube</v>
      </c>
      <c r="H51" s="68">
        <v>50.8</v>
      </c>
      <c r="I51" s="69">
        <v>0.73599999999999999</v>
      </c>
      <c r="J51" s="70">
        <v>74380.600000000006</v>
      </c>
      <c r="K51" s="71">
        <f t="shared" si="1"/>
        <v>7.4380600000000001E-8</v>
      </c>
      <c r="L51" s="72">
        <f t="shared" si="3"/>
        <v>5057.8807999999999</v>
      </c>
      <c r="M51" s="459" t="s">
        <v>763</v>
      </c>
      <c r="N51" s="42"/>
      <c r="O51" s="457">
        <f>IF(A51=0,$G$54,COUNTIF($O$25:O50,"&lt;"&amp;$G$54)+1)</f>
        <v>18</v>
      </c>
      <c r="P51" s="102" t="str">
        <f ca="1">IFERROR(INDEX($G$26:OFFSET($G$26,$G$23-1,0),MATCH(ROW()-ROW($O$25),$O$26:OFFSET($O$26,$G$23-1,0),0)),"")</f>
        <v/>
      </c>
      <c r="Q51" s="16"/>
      <c r="R51" s="16"/>
      <c r="AA51" s="800"/>
      <c r="AB51" s="465" t="s">
        <v>172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1</v>
      </c>
      <c r="AN51" s="9">
        <v>0</v>
      </c>
    </row>
    <row r="52" spans="1:44" x14ac:dyDescent="0.25">
      <c r="A52" s="453">
        <v>1</v>
      </c>
      <c r="B52" s="846"/>
      <c r="C52" s="35"/>
      <c r="D52" s="848"/>
      <c r="E52" s="66" t="s">
        <v>86</v>
      </c>
      <c r="F52" s="67" t="s">
        <v>843</v>
      </c>
      <c r="G52" s="67" t="str">
        <f t="shared" ca="1" si="0"/>
        <v>2.5" (63mm) Tube</v>
      </c>
      <c r="H52" s="68">
        <v>65.23</v>
      </c>
      <c r="I52" s="69">
        <v>1.3120000000000001</v>
      </c>
      <c r="J52" s="70">
        <v>224028</v>
      </c>
      <c r="K52" s="71">
        <f t="shared" si="1"/>
        <v>2.24028E-7</v>
      </c>
      <c r="L52" s="72">
        <f t="shared" si="3"/>
        <v>15233.904</v>
      </c>
      <c r="M52" s="459" t="s">
        <v>764</v>
      </c>
      <c r="N52" s="42"/>
      <c r="O52" s="457">
        <f>IF(A52=0,$G$54,COUNTIF($O$25:O51,"&lt;"&amp;$G$54)+1)</f>
        <v>19</v>
      </c>
      <c r="P52" s="102" t="str">
        <f ca="1">IFERROR(INDEX($G$26:OFFSET($G$26,$G$23-1,0),MATCH(ROW()-ROW($O$25),$O$26:OFFSET($O$26,$G$23-1,0),0)),"")</f>
        <v/>
      </c>
      <c r="Q52" s="16"/>
      <c r="R52" s="16"/>
      <c r="AA52" s="800"/>
      <c r="AB52" s="465" t="s">
        <v>174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1</v>
      </c>
      <c r="AL52" s="9">
        <v>1</v>
      </c>
      <c r="AM52" s="9">
        <v>0</v>
      </c>
      <c r="AN52" s="9">
        <v>0</v>
      </c>
    </row>
    <row r="53" spans="1:44" x14ac:dyDescent="0.25">
      <c r="A53" s="453">
        <v>1</v>
      </c>
      <c r="B53" s="846"/>
      <c r="C53" s="35"/>
      <c r="D53" s="849"/>
      <c r="E53" s="66" t="s">
        <v>87</v>
      </c>
      <c r="F53" s="67" t="s">
        <v>844</v>
      </c>
      <c r="G53" s="67" t="str">
        <f t="shared" ca="1" si="0"/>
        <v>3.25" (83mm) Tube</v>
      </c>
      <c r="H53" s="68">
        <v>83.06</v>
      </c>
      <c r="I53" s="73">
        <v>3.0779999999999998</v>
      </c>
      <c r="J53" s="70">
        <v>798623</v>
      </c>
      <c r="K53" s="71">
        <f t="shared" si="1"/>
        <v>7.9862299999999996E-7</v>
      </c>
      <c r="L53" s="72">
        <f t="shared" si="3"/>
        <v>54306.363999999994</v>
      </c>
      <c r="M53" s="459" t="s">
        <v>765</v>
      </c>
      <c r="N53" s="42"/>
      <c r="O53" s="457">
        <f>IF(A53=0,$G$54,COUNTIF($O$25:O52,"&lt;"&amp;$G$54)+1)</f>
        <v>20</v>
      </c>
      <c r="P53" s="102" t="str">
        <f ca="1">IFERROR(INDEX($G$26:OFFSET($G$26,$G$23-1,0),MATCH(ROW()-ROW($O$25),$O$26:OFFSET($O$26,$G$23-1,0),0)),"")</f>
        <v/>
      </c>
      <c r="Q53" s="16"/>
      <c r="R53" s="16"/>
      <c r="AA53" s="800"/>
      <c r="AB53" s="465" t="s">
        <v>176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</row>
    <row r="54" spans="1:44" x14ac:dyDescent="0.25">
      <c r="C54" s="30"/>
      <c r="D54" s="74"/>
      <c r="E54" s="75"/>
      <c r="F54" s="75"/>
      <c r="G54" s="454">
        <v>200</v>
      </c>
      <c r="H54" s="455" t="s">
        <v>792</v>
      </c>
      <c r="I54" s="78"/>
      <c r="J54" s="79"/>
      <c r="K54" s="80"/>
      <c r="L54" s="81"/>
      <c r="M54" s="42"/>
      <c r="N54" s="42"/>
      <c r="O54" s="42"/>
      <c r="P54" s="42"/>
      <c r="Q54" s="16"/>
      <c r="R54" s="16"/>
      <c r="AA54" s="800"/>
      <c r="AB54" s="465" t="s">
        <v>178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</row>
    <row r="55" spans="1:44" x14ac:dyDescent="0.25">
      <c r="C55" s="30"/>
      <c r="D55" s="74"/>
      <c r="E55" s="75"/>
      <c r="F55" s="75"/>
      <c r="G55" s="34" t="s">
        <v>348</v>
      </c>
      <c r="H55" s="77"/>
      <c r="I55" s="82"/>
      <c r="J55" s="79"/>
      <c r="K55" s="80"/>
      <c r="L55" s="81"/>
      <c r="M55" s="42"/>
      <c r="N55" s="42"/>
      <c r="O55" s="42"/>
      <c r="P55" s="42"/>
      <c r="Q55" s="16"/>
      <c r="R55" s="1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</row>
    <row r="56" spans="1:44" x14ac:dyDescent="0.25">
      <c r="C56" s="30"/>
      <c r="D56" s="74"/>
      <c r="E56" s="75"/>
      <c r="F56" s="75"/>
      <c r="G56" s="76"/>
      <c r="H56" s="77"/>
      <c r="I56" s="82"/>
      <c r="J56" s="79"/>
      <c r="K56" s="80"/>
      <c r="L56" s="81"/>
      <c r="M56" s="42"/>
      <c r="N56" s="42"/>
      <c r="O56" s="42"/>
      <c r="P56" s="42"/>
      <c r="Q56" s="16"/>
      <c r="R56" s="16"/>
    </row>
    <row r="57" spans="1:44" x14ac:dyDescent="0.25">
      <c r="C57" s="30"/>
      <c r="D57" s="74"/>
      <c r="E57" s="75"/>
      <c r="F57" s="76"/>
      <c r="G57" s="77"/>
      <c r="H57" s="82"/>
      <c r="I57" s="79"/>
      <c r="J57" s="80"/>
      <c r="K57" s="81"/>
      <c r="L57" s="42"/>
      <c r="M57" s="16"/>
      <c r="N57" s="16"/>
    </row>
    <row r="58" spans="1:44" x14ac:dyDescent="0.25">
      <c r="D58" s="30"/>
      <c r="E58" s="30"/>
      <c r="F58" s="76"/>
      <c r="G58" s="456">
        <f ca="1">COUNTA(D61:D76)</f>
        <v>16</v>
      </c>
      <c r="H58" s="82"/>
      <c r="I58" s="82"/>
      <c r="J58" s="82"/>
      <c r="K58" s="82"/>
      <c r="L58" s="82"/>
      <c r="M58" s="82"/>
      <c r="N58" s="79"/>
      <c r="O58" s="80"/>
      <c r="P58" s="81"/>
      <c r="Q58" s="28"/>
      <c r="R58" s="16"/>
      <c r="S58" s="16"/>
      <c r="AF58" s="467"/>
    </row>
    <row r="59" spans="1:44" x14ac:dyDescent="0.25">
      <c r="C59" s="426" t="s">
        <v>88</v>
      </c>
      <c r="D59" s="426"/>
      <c r="E59" s="426"/>
      <c r="F59" s="426"/>
      <c r="G59" s="426"/>
      <c r="H59" s="426"/>
      <c r="I59" s="652"/>
      <c r="J59" s="472" t="s">
        <v>823</v>
      </c>
      <c r="K59" s="409">
        <f ca="1">IFERROR(MATCH("",K61:K76,0)-1,"")</f>
        <v>12</v>
      </c>
      <c r="L59" s="455" t="s">
        <v>795</v>
      </c>
      <c r="M59" s="82"/>
      <c r="N59" s="810" t="s">
        <v>37</v>
      </c>
      <c r="O59" s="810"/>
      <c r="P59" s="810"/>
      <c r="Q59" s="810"/>
      <c r="R59" s="810"/>
      <c r="S59" s="810"/>
      <c r="T59" s="16"/>
      <c r="AE59" s="805" t="s">
        <v>802</v>
      </c>
      <c r="AF59" s="806"/>
      <c r="AG59" s="806"/>
      <c r="AH59" s="806"/>
      <c r="AI59" s="806"/>
      <c r="AJ59" s="806"/>
      <c r="AK59" s="806"/>
      <c r="AL59" s="806"/>
      <c r="AM59" s="806"/>
      <c r="AN59" s="806"/>
      <c r="AO59" s="806"/>
      <c r="AP59" s="806"/>
      <c r="AQ59" s="806"/>
      <c r="AR59" s="807"/>
    </row>
    <row r="60" spans="1:44" ht="15" customHeight="1" x14ac:dyDescent="0.25">
      <c r="A60" s="468" t="s">
        <v>778</v>
      </c>
      <c r="C60" s="83" t="s">
        <v>89</v>
      </c>
      <c r="D60" s="31" t="s">
        <v>898</v>
      </c>
      <c r="E60" s="83" t="s">
        <v>39</v>
      </c>
      <c r="F60" s="83" t="s">
        <v>41</v>
      </c>
      <c r="G60" s="83" t="s">
        <v>757</v>
      </c>
      <c r="H60" s="84" t="s">
        <v>36</v>
      </c>
      <c r="I60" s="653"/>
      <c r="J60" s="458" t="s">
        <v>793</v>
      </c>
      <c r="K60" s="458" t="s">
        <v>794</v>
      </c>
      <c r="M60" s="653"/>
      <c r="N60" s="85" t="s">
        <v>90</v>
      </c>
      <c r="O60" s="85" t="s">
        <v>91</v>
      </c>
      <c r="P60" s="85" t="s">
        <v>92</v>
      </c>
      <c r="Q60" s="85" t="s">
        <v>93</v>
      </c>
      <c r="R60" s="85" t="s">
        <v>94</v>
      </c>
      <c r="S60" s="85" t="s">
        <v>95</v>
      </c>
      <c r="T60" s="16"/>
      <c r="AE60" s="136"/>
      <c r="AF60" s="799" t="s">
        <v>777</v>
      </c>
      <c r="AG60" s="799"/>
      <c r="AH60" s="799"/>
      <c r="AI60" s="799"/>
      <c r="AJ60" s="799"/>
      <c r="AK60" s="799"/>
      <c r="AL60" s="799"/>
      <c r="AM60" s="799"/>
      <c r="AN60" s="799"/>
      <c r="AO60" s="799"/>
      <c r="AP60" s="799"/>
      <c r="AQ60" s="799"/>
      <c r="AR60" s="799"/>
    </row>
    <row r="61" spans="1:44" x14ac:dyDescent="0.25">
      <c r="A61" s="453">
        <v>0</v>
      </c>
      <c r="B61" s="851" t="s">
        <v>45</v>
      </c>
      <c r="C61" s="86" t="s">
        <v>96</v>
      </c>
      <c r="D61" s="36" t="str">
        <f t="shared" ref="D61:D76" ca="1" si="4">IFERROR(INDEX(Language_Dictionary,MATCH(C61,Language_Base,0),MATCH(Language_Selected,Language_available,0)), C61)</f>
        <v>RB91-1215</v>
      </c>
      <c r="E61" s="87" t="s">
        <v>97</v>
      </c>
      <c r="F61" s="88">
        <v>0.188</v>
      </c>
      <c r="G61" s="93">
        <f t="shared" ref="G61:G72" si="5">F61/conv_kg</f>
        <v>0.41446902549513615</v>
      </c>
      <c r="H61" s="89">
        <v>35</v>
      </c>
      <c r="I61" s="644"/>
      <c r="J61" s="48">
        <f>IF(A61=0,$G$54,COUNTIF($J$60:J60,"&lt;"&amp;$G$54)+1)</f>
        <v>200</v>
      </c>
      <c r="K61" s="154" t="str">
        <f ca="1">IFERROR(INDEX($D$61:OFFSET($D$61,$G$58-1,0),MATCH(ROW()-ROW($J$60),$J$61:OFFSET($J$61,$G$58-1,0),0)),"")</f>
        <v>RB91-1205</v>
      </c>
      <c r="M61" s="644"/>
      <c r="N61" s="35" t="s">
        <v>96</v>
      </c>
      <c r="O61" s="26"/>
      <c r="P61" s="26"/>
      <c r="Q61" s="26"/>
      <c r="R61" s="26"/>
      <c r="S61" s="26"/>
      <c r="T61" s="16"/>
      <c r="AE61" s="645" t="s">
        <v>803</v>
      </c>
      <c r="AF61" s="464"/>
      <c r="AG61" s="466" t="s">
        <v>759</v>
      </c>
      <c r="AH61" s="466" t="s">
        <v>760</v>
      </c>
      <c r="AI61" s="466" t="s">
        <v>761</v>
      </c>
      <c r="AJ61" s="466" t="s">
        <v>762</v>
      </c>
      <c r="AK61" s="466" t="s">
        <v>763</v>
      </c>
      <c r="AL61" s="466" t="s">
        <v>764</v>
      </c>
      <c r="AM61" s="466" t="s">
        <v>765</v>
      </c>
      <c r="AN61" s="463" t="s">
        <v>772</v>
      </c>
      <c r="AO61" s="463" t="s">
        <v>773</v>
      </c>
      <c r="AP61" s="463" t="s">
        <v>774</v>
      </c>
      <c r="AQ61" s="463" t="s">
        <v>775</v>
      </c>
      <c r="AR61" s="463" t="s">
        <v>776</v>
      </c>
    </row>
    <row r="62" spans="1:44" x14ac:dyDescent="0.25">
      <c r="A62" s="453">
        <v>1</v>
      </c>
      <c r="B62" s="852"/>
      <c r="C62" s="86" t="s">
        <v>98</v>
      </c>
      <c r="D62" s="735" t="str">
        <f t="shared" ca="1" si="4"/>
        <v>RB91-1205</v>
      </c>
      <c r="E62" s="87" t="s">
        <v>99</v>
      </c>
      <c r="F62" s="88">
        <v>0.24099999999999999</v>
      </c>
      <c r="G62" s="93">
        <f t="shared" si="5"/>
        <v>0.53131401672514789</v>
      </c>
      <c r="H62" s="89" t="s">
        <v>100</v>
      </c>
      <c r="I62" s="644"/>
      <c r="J62" s="48">
        <f>IF(A62=0,$G$54,COUNTIF($J$60:J61,"&lt;"&amp;$G$54)+1)</f>
        <v>1</v>
      </c>
      <c r="K62" s="154" t="str">
        <f ca="1">IFERROR(INDEX($D$61:OFFSET($D$61,$G$58-1,0),MATCH(ROW()-ROW($J$60),$J$61:OFFSET($J$61,$G$58-1,0),0)),"")</f>
        <v>RB91-1203</v>
      </c>
      <c r="L62" s="644"/>
      <c r="M62" s="644"/>
      <c r="N62" s="35" t="s">
        <v>98</v>
      </c>
      <c r="O62" s="35" t="s">
        <v>98</v>
      </c>
      <c r="P62" s="26"/>
      <c r="Q62" s="26"/>
      <c r="R62" s="91"/>
      <c r="S62" s="26"/>
      <c r="T62" s="16"/>
      <c r="AE62" s="646"/>
      <c r="AF62" s="6" t="str">
        <f>C306</f>
        <v>-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0</v>
      </c>
      <c r="AR62" s="6">
        <v>0</v>
      </c>
    </row>
    <row r="63" spans="1:44" x14ac:dyDescent="0.25">
      <c r="A63" s="453">
        <v>1</v>
      </c>
      <c r="B63" s="852"/>
      <c r="C63" s="86" t="s">
        <v>101</v>
      </c>
      <c r="D63" s="735" t="str">
        <f t="shared" ca="1" si="4"/>
        <v>RB91-1203</v>
      </c>
      <c r="E63" s="87" t="s">
        <v>102</v>
      </c>
      <c r="F63" s="88">
        <v>0.26900000000000002</v>
      </c>
      <c r="G63" s="93">
        <f t="shared" si="5"/>
        <v>0.59304344605421078</v>
      </c>
      <c r="H63" s="89" t="s">
        <v>103</v>
      </c>
      <c r="I63" s="644"/>
      <c r="J63" s="48">
        <f>IF(A63=0,$G$54,COUNTIF($J$60:J62,"&lt;"&amp;$G$54)+1)</f>
        <v>2</v>
      </c>
      <c r="K63" s="154" t="str">
        <f ca="1">IFERROR(INDEX($D$61:OFFSET($D$61,$G$58-1,0),MATCH(ROW()-ROW($J$60),$J$61:OFFSET($J$61,$G$58-1,0),0)),"")</f>
        <v>RB91-1226</v>
      </c>
      <c r="L63" s="644"/>
      <c r="M63" s="644"/>
      <c r="N63" s="35" t="s">
        <v>101</v>
      </c>
      <c r="O63" s="35" t="s">
        <v>101</v>
      </c>
      <c r="P63" s="35" t="s">
        <v>101</v>
      </c>
      <c r="Q63" s="26"/>
      <c r="R63" s="91"/>
      <c r="S63" s="26"/>
      <c r="T63" s="16"/>
      <c r="AE63" s="646"/>
      <c r="AF63" s="6" t="s">
        <v>804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6">
        <v>0</v>
      </c>
      <c r="AN63" s="6">
        <v>0</v>
      </c>
      <c r="AO63" s="6">
        <v>0</v>
      </c>
      <c r="AP63" s="6">
        <v>0</v>
      </c>
      <c r="AQ63" s="6">
        <v>1</v>
      </c>
      <c r="AR63" s="6">
        <v>0</v>
      </c>
    </row>
    <row r="64" spans="1:44" x14ac:dyDescent="0.25">
      <c r="A64" s="453">
        <v>1</v>
      </c>
      <c r="B64" s="852"/>
      <c r="C64" s="86" t="s">
        <v>104</v>
      </c>
      <c r="D64" s="735" t="str">
        <f t="shared" ca="1" si="4"/>
        <v>RB91-1226</v>
      </c>
      <c r="E64" s="87" t="s">
        <v>105</v>
      </c>
      <c r="F64" s="88">
        <v>0.31</v>
      </c>
      <c r="G64" s="93">
        <f t="shared" si="5"/>
        <v>0.68343296757176708</v>
      </c>
      <c r="H64" s="89" t="s">
        <v>103</v>
      </c>
      <c r="I64" s="644"/>
      <c r="J64" s="48">
        <f>IF(A64=0,$G$54,COUNTIF($J$60:J63,"&lt;"&amp;$G$54)+1)</f>
        <v>3</v>
      </c>
      <c r="K64" s="154" t="str">
        <f ca="1">IFERROR(INDEX($D$61:OFFSET($D$61,$G$58-1,0),MATCH(ROW()-ROW($J$60),$J$61:OFFSET($J$61,$G$58-1,0),0)),"")</f>
        <v>RB91-1231</v>
      </c>
      <c r="L64" s="644"/>
      <c r="M64" s="644"/>
      <c r="N64" s="35" t="s">
        <v>104</v>
      </c>
      <c r="O64" s="35" t="s">
        <v>104</v>
      </c>
      <c r="P64" s="35" t="s">
        <v>104</v>
      </c>
      <c r="Q64" s="26"/>
      <c r="R64" s="91"/>
      <c r="S64" s="26"/>
      <c r="T64" s="16"/>
      <c r="AE64" s="646"/>
      <c r="AF64" s="6" t="s">
        <v>812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6">
        <v>0</v>
      </c>
      <c r="AO64" s="6">
        <v>0</v>
      </c>
      <c r="AP64" s="6">
        <v>0</v>
      </c>
      <c r="AQ64" s="6">
        <v>1</v>
      </c>
      <c r="AR64" s="6">
        <v>0</v>
      </c>
    </row>
    <row r="65" spans="1:45" ht="30" x14ac:dyDescent="0.25">
      <c r="A65" s="453">
        <v>1</v>
      </c>
      <c r="B65" s="852"/>
      <c r="C65" s="86" t="s">
        <v>106</v>
      </c>
      <c r="D65" s="735" t="str">
        <f t="shared" ca="1" si="4"/>
        <v>RB91-1231</v>
      </c>
      <c r="E65" s="92" t="s">
        <v>107</v>
      </c>
      <c r="F65" s="93">
        <v>0.29199999999999998</v>
      </c>
      <c r="G65" s="93">
        <f t="shared" si="5"/>
        <v>0.64374976300308373</v>
      </c>
      <c r="H65" s="94" t="s">
        <v>103</v>
      </c>
      <c r="I65" s="654"/>
      <c r="J65" s="48">
        <f>IF(A65=0,$G$54,COUNTIF($J$60:J64,"&lt;"&amp;$G$54)+1)</f>
        <v>4</v>
      </c>
      <c r="K65" s="154" t="str">
        <f ca="1">IFERROR(INDEX($D$61:OFFSET($D$61,$G$58-1,0),MATCH(ROW()-ROW($J$60),$J$61:OFFSET($J$61,$G$58-1,0),0)),"")</f>
        <v>SB06-0201</v>
      </c>
      <c r="L65" s="654"/>
      <c r="M65" s="654"/>
      <c r="N65" s="35" t="s">
        <v>106</v>
      </c>
      <c r="O65" s="35" t="s">
        <v>106</v>
      </c>
      <c r="P65" s="35" t="s">
        <v>106</v>
      </c>
      <c r="Q65" s="26"/>
      <c r="R65" s="91"/>
      <c r="S65" s="26"/>
      <c r="T65" s="16"/>
      <c r="AE65" s="646"/>
      <c r="AF65" s="6" t="s">
        <v>813</v>
      </c>
      <c r="AG65" s="6">
        <v>0</v>
      </c>
      <c r="AH65" s="6">
        <v>0</v>
      </c>
      <c r="AI65" s="6">
        <v>0</v>
      </c>
      <c r="AJ65" s="6">
        <v>1</v>
      </c>
      <c r="AK65" s="6">
        <v>1</v>
      </c>
      <c r="AL65" s="6">
        <v>1</v>
      </c>
      <c r="AM65" s="6">
        <v>0</v>
      </c>
      <c r="AN65" s="6">
        <v>0</v>
      </c>
      <c r="AO65" s="6">
        <v>0</v>
      </c>
      <c r="AP65" s="6">
        <v>0</v>
      </c>
      <c r="AQ65" s="6">
        <v>0</v>
      </c>
      <c r="AR65" s="6">
        <v>0</v>
      </c>
      <c r="AS65" s="688" t="s">
        <v>837</v>
      </c>
    </row>
    <row r="66" spans="1:45" x14ac:dyDescent="0.25">
      <c r="A66" s="453">
        <v>1</v>
      </c>
      <c r="B66" s="852"/>
      <c r="C66" s="86" t="s">
        <v>108</v>
      </c>
      <c r="D66" s="735" t="str">
        <f t="shared" ca="1" si="4"/>
        <v>SB06-0201</v>
      </c>
      <c r="E66" s="87" t="s">
        <v>109</v>
      </c>
      <c r="F66" s="88">
        <v>0.55600000000000005</v>
      </c>
      <c r="G66" s="93">
        <f t="shared" si="5"/>
        <v>1.225770096677105</v>
      </c>
      <c r="H66" s="89" t="s">
        <v>110</v>
      </c>
      <c r="I66" s="644"/>
      <c r="J66" s="48">
        <f>IF(A66=0,$G$54,COUNTIF($J$60:J65,"&lt;"&amp;$G$54)+1)</f>
        <v>5</v>
      </c>
      <c r="K66" s="154" t="str">
        <f ca="1">IFERROR(INDEX($D$61:OFFSET($D$61,$G$58-1,0),MATCH(ROW()-ROW($J$60),$J$61:OFFSET($J$61,$G$58-1,0),0)),"")</f>
        <v>SB06-1301</v>
      </c>
      <c r="L66" s="644"/>
      <c r="M66" s="644"/>
      <c r="N66" s="91"/>
      <c r="O66" s="91"/>
      <c r="P66" s="35" t="s">
        <v>108</v>
      </c>
      <c r="Q66" s="35" t="s">
        <v>108</v>
      </c>
      <c r="R66" s="26"/>
      <c r="S66" s="26"/>
      <c r="T66" s="16"/>
      <c r="AE66" s="646"/>
      <c r="AF66" s="6" t="s">
        <v>814</v>
      </c>
      <c r="AG66" s="6">
        <v>0</v>
      </c>
      <c r="AH66" s="6">
        <v>0</v>
      </c>
      <c r="AI66" s="6">
        <v>0</v>
      </c>
      <c r="AJ66" s="6">
        <v>1</v>
      </c>
      <c r="AK66" s="6">
        <v>0</v>
      </c>
      <c r="AL66" s="6">
        <v>0</v>
      </c>
      <c r="AM66" s="6">
        <v>0</v>
      </c>
      <c r="AN66" s="6">
        <v>0</v>
      </c>
      <c r="AO66" s="6">
        <v>1</v>
      </c>
      <c r="AP66" s="6">
        <v>1</v>
      </c>
      <c r="AQ66" s="6">
        <v>0</v>
      </c>
      <c r="AR66" s="6">
        <v>0</v>
      </c>
    </row>
    <row r="67" spans="1:45" x14ac:dyDescent="0.25">
      <c r="A67" s="453">
        <v>1</v>
      </c>
      <c r="B67" s="852"/>
      <c r="C67" s="86" t="s">
        <v>111</v>
      </c>
      <c r="D67" s="735" t="str">
        <f t="shared" ca="1" si="4"/>
        <v>SB06-1301</v>
      </c>
      <c r="E67" s="87" t="s">
        <v>112</v>
      </c>
      <c r="F67" s="88">
        <v>1.1825000000000001</v>
      </c>
      <c r="G67" s="93">
        <f t="shared" si="5"/>
        <v>2.606966077914886</v>
      </c>
      <c r="H67" s="89" t="s">
        <v>110</v>
      </c>
      <c r="I67" s="644"/>
      <c r="J67" s="48">
        <f>IF(A67=0,$G$54,COUNTIF($J$60:J66,"&lt;"&amp;$G$54)+1)</f>
        <v>6</v>
      </c>
      <c r="K67" s="154" t="str">
        <f ca="1">IFERROR(INDEX($D$61:OFFSET($D$61,$G$58-1,0),MATCH(ROW()-ROW($J$60),$J$61:OFFSET($J$61,$G$58-1,0),0)),"")</f>
        <v>SB06-1303</v>
      </c>
      <c r="L67" s="644"/>
      <c r="M67" s="644"/>
      <c r="N67" s="91"/>
      <c r="O67" s="91"/>
      <c r="P67" s="35" t="s">
        <v>111</v>
      </c>
      <c r="Q67" s="35" t="s">
        <v>111</v>
      </c>
      <c r="R67" s="26"/>
      <c r="S67" s="26"/>
      <c r="T67" s="16"/>
      <c r="AE67" s="646"/>
      <c r="AF67" s="6" t="s">
        <v>815</v>
      </c>
      <c r="AG67" s="6">
        <v>0</v>
      </c>
      <c r="AH67" s="6">
        <v>0</v>
      </c>
      <c r="AI67" s="6">
        <v>0</v>
      </c>
      <c r="AJ67" s="6">
        <v>1</v>
      </c>
      <c r="AK67" s="6">
        <v>0</v>
      </c>
      <c r="AL67" s="6">
        <v>0</v>
      </c>
      <c r="AM67" s="6">
        <v>0</v>
      </c>
      <c r="AN67" s="6">
        <v>0</v>
      </c>
      <c r="AO67" s="6">
        <v>1</v>
      </c>
      <c r="AP67" s="6">
        <v>1</v>
      </c>
      <c r="AQ67" s="6">
        <v>0</v>
      </c>
      <c r="AR67" s="6">
        <v>0</v>
      </c>
    </row>
    <row r="68" spans="1:45" x14ac:dyDescent="0.25">
      <c r="A68" s="453">
        <v>0</v>
      </c>
      <c r="B68" s="852"/>
      <c r="C68" s="86" t="s">
        <v>113</v>
      </c>
      <c r="D68" s="735" t="str">
        <f t="shared" ca="1" si="4"/>
        <v>SB06-1402</v>
      </c>
      <c r="E68" s="87" t="s">
        <v>114</v>
      </c>
      <c r="F68" s="88">
        <v>1.0089999999999999</v>
      </c>
      <c r="G68" s="93">
        <f t="shared" si="5"/>
        <v>2.2244640783222995</v>
      </c>
      <c r="H68" s="89">
        <v>60</v>
      </c>
      <c r="I68" s="644"/>
      <c r="J68" s="48">
        <f>IF(A68=0,$G$54,COUNTIF($J$60:J67,"&lt;"&amp;$G$54)+1)</f>
        <v>200</v>
      </c>
      <c r="K68" s="154" t="str">
        <f ca="1">IFERROR(INDEX($D$61:OFFSET($D$61,$G$58-1,0),MATCH(ROW()-ROW($J$60),$J$61:OFFSET($J$61,$G$58-1,0),0)),"")</f>
        <v>RE15-0101</v>
      </c>
      <c r="L68" s="644"/>
      <c r="M68" s="644"/>
      <c r="N68" s="91"/>
      <c r="O68" s="95"/>
      <c r="P68" s="91"/>
      <c r="Q68" s="35" t="s">
        <v>113</v>
      </c>
      <c r="R68" s="26"/>
      <c r="S68" s="26"/>
      <c r="T68" s="16"/>
      <c r="AE68" s="647"/>
      <c r="AF68" s="6" t="s">
        <v>805</v>
      </c>
      <c r="AG68" s="6">
        <v>0</v>
      </c>
      <c r="AH68" s="6">
        <v>0</v>
      </c>
      <c r="AI68" s="6">
        <v>0</v>
      </c>
      <c r="AJ68" s="6">
        <v>1</v>
      </c>
      <c r="AK68" s="6">
        <v>0</v>
      </c>
      <c r="AL68" s="6">
        <v>0</v>
      </c>
      <c r="AM68" s="6">
        <v>0</v>
      </c>
      <c r="AN68" s="6">
        <v>0</v>
      </c>
      <c r="AO68" s="6">
        <v>0</v>
      </c>
      <c r="AP68" s="6">
        <v>0</v>
      </c>
      <c r="AQ68" s="6">
        <v>0</v>
      </c>
      <c r="AR68" s="6">
        <v>0</v>
      </c>
    </row>
    <row r="69" spans="1:45" x14ac:dyDescent="0.25">
      <c r="A69" s="453">
        <v>0</v>
      </c>
      <c r="B69" s="852"/>
      <c r="C69" s="86" t="s">
        <v>115</v>
      </c>
      <c r="D69" s="735" t="str">
        <f t="shared" ca="1" si="4"/>
        <v>SB06-1403</v>
      </c>
      <c r="E69" s="87" t="s">
        <v>116</v>
      </c>
      <c r="F69" s="88">
        <v>1.23</v>
      </c>
      <c r="G69" s="93">
        <f t="shared" si="5"/>
        <v>2.7116856455266887</v>
      </c>
      <c r="H69" s="89">
        <v>60</v>
      </c>
      <c r="I69" s="644"/>
      <c r="J69" s="48">
        <f>IF(A69=0,$G$54,COUNTIF($J$60:J68,"&lt;"&amp;$G$54)+1)</f>
        <v>200</v>
      </c>
      <c r="K69" s="154" t="str">
        <f ca="1">IFERROR(INDEX($D$61:OFFSET($D$61,$G$58-1,0),MATCH(ROW()-ROW($J$60),$J$61:OFFSET($J$61,$G$58-1,0),0)),"")</f>
        <v>SB06-1304</v>
      </c>
      <c r="L69" s="644"/>
      <c r="M69" s="644"/>
      <c r="N69" s="91"/>
      <c r="O69" s="96"/>
      <c r="P69" s="91"/>
      <c r="Q69" s="35" t="s">
        <v>115</v>
      </c>
      <c r="R69" s="26"/>
      <c r="S69" s="26"/>
      <c r="T69" s="1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</row>
    <row r="70" spans="1:45" x14ac:dyDescent="0.25">
      <c r="A70" s="453">
        <v>1</v>
      </c>
      <c r="B70" s="852"/>
      <c r="C70" s="86" t="s">
        <v>117</v>
      </c>
      <c r="D70" s="735" t="str">
        <f t="shared" ca="1" si="4"/>
        <v>SB06-1303</v>
      </c>
      <c r="E70" s="87" t="s">
        <v>118</v>
      </c>
      <c r="F70" s="88">
        <v>1.9890000000000001</v>
      </c>
      <c r="G70" s="93">
        <f t="shared" si="5"/>
        <v>4.3849941048394996</v>
      </c>
      <c r="H70" s="89">
        <v>60</v>
      </c>
      <c r="I70" s="644"/>
      <c r="J70" s="48">
        <f>IF(A70=0,$G$54,COUNTIF($J$60:J69,"&lt;"&amp;$G$54)+1)</f>
        <v>7</v>
      </c>
      <c r="K70" s="154" t="str">
        <f ca="1">IFERROR(INDEX($D$61:OFFSET($D$61,$G$58-1,0),MATCH(ROW()-ROW($J$60),$J$61:OFFSET($J$61,$G$58-1,0),0)),"")</f>
        <v>RCBIHB</v>
      </c>
      <c r="L70" s="644"/>
      <c r="M70" s="644"/>
      <c r="N70" s="91"/>
      <c r="O70" s="91"/>
      <c r="P70" s="91"/>
      <c r="Q70" s="35" t="s">
        <v>117</v>
      </c>
      <c r="R70" s="26"/>
      <c r="S70" s="26"/>
      <c r="T70" s="16"/>
    </row>
    <row r="71" spans="1:45" x14ac:dyDescent="0.25">
      <c r="A71" s="453">
        <v>1</v>
      </c>
      <c r="B71" s="852"/>
      <c r="C71" s="97" t="s">
        <v>119</v>
      </c>
      <c r="D71" s="736" t="str">
        <f t="shared" ca="1" si="4"/>
        <v>RE15-0101</v>
      </c>
      <c r="E71" s="87" t="s">
        <v>120</v>
      </c>
      <c r="F71" s="88">
        <v>1.2948500000000001</v>
      </c>
      <c r="G71" s="93">
        <f t="shared" si="5"/>
        <v>2.8546554130977504</v>
      </c>
      <c r="H71" s="89">
        <v>60</v>
      </c>
      <c r="I71" s="644"/>
      <c r="J71" s="48">
        <f>IF(A71=0,$G$54,COUNTIF($J$60:J70,"&lt;"&amp;$G$54)+1)</f>
        <v>8</v>
      </c>
      <c r="K71" s="154" t="str">
        <f ca="1">IFERROR(INDEX($D$61:OFFSET($D$61,$G$58-1,0),MATCH(ROW()-ROW($J$60),$J$61:OFFSET($J$61,$G$58-1,0),0)),"")</f>
        <v>HB16</v>
      </c>
      <c r="L71" s="644"/>
      <c r="M71" s="644"/>
      <c r="N71" s="91"/>
      <c r="O71" s="91"/>
      <c r="P71" s="91"/>
      <c r="Q71" s="35" t="s">
        <v>119</v>
      </c>
      <c r="R71" s="26"/>
      <c r="S71" s="26"/>
      <c r="T71" s="16"/>
    </row>
    <row r="72" spans="1:45" ht="15.75" thickBot="1" x14ac:dyDescent="0.3">
      <c r="A72" s="453">
        <v>1</v>
      </c>
      <c r="B72" s="852"/>
      <c r="C72" s="98" t="s">
        <v>121</v>
      </c>
      <c r="D72" s="737" t="str">
        <f t="shared" ca="1" si="4"/>
        <v>SB06-1304</v>
      </c>
      <c r="E72" s="52" t="s">
        <v>122</v>
      </c>
      <c r="F72" s="99">
        <v>0.70840000000000003</v>
      </c>
      <c r="G72" s="435">
        <f t="shared" si="5"/>
        <v>1.5617545620252897</v>
      </c>
      <c r="H72" s="100">
        <v>100</v>
      </c>
      <c r="I72" s="644"/>
      <c r="J72" s="48">
        <f>IF(A72=0,$G$54,COUNTIF($J$60:J71,"&lt;"&amp;$G$54)+1)</f>
        <v>9</v>
      </c>
      <c r="K72" s="154" t="str">
        <f ca="1">IFERROR(INDEX($D$61:OFFSET($D$61,$G$58-1,0),MATCH(ROW()-ROW($J$60),$J$61:OFFSET($J$61,$G$58-1,0),0)),"")</f>
        <v>Custom</v>
      </c>
      <c r="L72" s="644"/>
      <c r="M72" s="644"/>
      <c r="N72" s="91"/>
      <c r="O72" s="95"/>
      <c r="P72" s="91"/>
      <c r="Q72" s="26"/>
      <c r="R72" s="35" t="s">
        <v>121</v>
      </c>
      <c r="S72" s="26"/>
      <c r="T72" s="16"/>
    </row>
    <row r="73" spans="1:45" ht="14.65" customHeight="1" thickTop="1" x14ac:dyDescent="0.25">
      <c r="A73" s="453">
        <v>0</v>
      </c>
      <c r="B73" s="835" t="s">
        <v>80</v>
      </c>
      <c r="C73" s="428" t="s">
        <v>123</v>
      </c>
      <c r="D73" s="738" t="str">
        <f t="shared" ca="1" si="4"/>
        <v>HB12A</v>
      </c>
      <c r="E73" s="427" t="s">
        <v>124</v>
      </c>
      <c r="F73" s="429">
        <v>0.25</v>
      </c>
      <c r="G73" s="437">
        <f>F73/conv_kg</f>
        <v>0.55115561900948962</v>
      </c>
      <c r="H73" s="430"/>
      <c r="I73" s="644"/>
      <c r="J73" s="48">
        <f>IF(A73=0,$G$54,COUNTIF($J$60:J72,"&lt;"&amp;$G$54)+1)</f>
        <v>200</v>
      </c>
      <c r="K73" s="154" t="str">
        <f ca="1">IFERROR(INDEX($D$61:OFFSET($D$61,$G$58-1,0),MATCH(ROW()-ROW($J$60),$J$61:OFFSET($J$61,$G$58-1,0),0)),"")</f>
        <v/>
      </c>
      <c r="L73" s="644"/>
      <c r="M73" s="644"/>
      <c r="N73" s="91"/>
      <c r="O73" s="95"/>
      <c r="P73" s="91"/>
      <c r="Q73" s="26"/>
      <c r="R73" s="35"/>
      <c r="S73" s="26" t="s">
        <v>106</v>
      </c>
      <c r="T73" s="16"/>
    </row>
    <row r="74" spans="1:45" x14ac:dyDescent="0.25">
      <c r="A74" s="453">
        <v>1</v>
      </c>
      <c r="B74" s="836"/>
      <c r="C74" s="710" t="s">
        <v>125</v>
      </c>
      <c r="D74" s="87" t="str">
        <f t="shared" ca="1" si="4"/>
        <v>RCBIHB</v>
      </c>
      <c r="E74" s="36" t="s">
        <v>126</v>
      </c>
      <c r="F74" s="101">
        <v>0.316</v>
      </c>
      <c r="G74" s="93">
        <f>F74/conv_kg</f>
        <v>0.69666070242799483</v>
      </c>
      <c r="H74" s="89"/>
      <c r="I74" s="644"/>
      <c r="J74" s="48">
        <f>IF(A74=0,$G$54,COUNTIF($J$60:J73,"&lt;"&amp;$G$54)+1)</f>
        <v>10</v>
      </c>
      <c r="K74" s="154" t="str">
        <f ca="1">IFERROR(INDEX($D$61:OFFSET($D$61,$G$58-1,0),MATCH(ROW()-ROW($J$60),$J$61:OFFSET($J$61,$G$58-1,0),0)),"")</f>
        <v/>
      </c>
      <c r="L74" s="644"/>
      <c r="M74" s="644"/>
      <c r="N74" s="91"/>
      <c r="O74" s="95"/>
      <c r="P74" s="91"/>
      <c r="Q74" s="26"/>
      <c r="R74" s="35"/>
      <c r="S74" s="26" t="s">
        <v>123</v>
      </c>
      <c r="T74" s="16"/>
    </row>
    <row r="75" spans="1:45" ht="15.75" thickBot="1" x14ac:dyDescent="0.3">
      <c r="A75" s="453">
        <v>1</v>
      </c>
      <c r="B75" s="684"/>
      <c r="C75" s="710" t="s">
        <v>845</v>
      </c>
      <c r="D75" s="87" t="str">
        <f t="shared" ca="1" si="4"/>
        <v>HB16</v>
      </c>
      <c r="E75" s="36" t="s">
        <v>126</v>
      </c>
      <c r="F75" s="101">
        <v>0.25</v>
      </c>
      <c r="G75" s="93">
        <f>F75/conv_kg</f>
        <v>0.55115561900948962</v>
      </c>
      <c r="H75" s="434"/>
      <c r="I75" s="644"/>
      <c r="J75" s="48">
        <f>IF(A75=0,$G$54,COUNTIF($J$60:J74,"&lt;"&amp;$G$54)+1)</f>
        <v>11</v>
      </c>
      <c r="K75" s="154" t="str">
        <f ca="1">IFERROR(INDEX($D$61:OFFSET($D$61,$G$58-1,0),MATCH(ROW()-ROW($J$60),$J$61:OFFSET($J$61,$G$58-1,0),0)),"")</f>
        <v/>
      </c>
      <c r="L75" s="644"/>
      <c r="M75" s="644"/>
      <c r="N75" s="91"/>
      <c r="O75" s="95"/>
      <c r="P75" s="91"/>
      <c r="Q75" s="26"/>
      <c r="R75" s="683"/>
      <c r="S75" s="26"/>
      <c r="T75" s="16"/>
    </row>
    <row r="76" spans="1:45" ht="16.5" thickTop="1" thickBot="1" x14ac:dyDescent="0.3">
      <c r="A76" s="453">
        <v>1</v>
      </c>
      <c r="B76" s="90"/>
      <c r="C76" s="431" t="s">
        <v>150</v>
      </c>
      <c r="D76" s="739" t="str">
        <f t="shared" ca="1" si="4"/>
        <v>Custom</v>
      </c>
      <c r="E76" s="432" t="s">
        <v>905</v>
      </c>
      <c r="F76" s="433">
        <f>Main!AF75*conv_kgPm</f>
        <v>0.18850077865266843</v>
      </c>
      <c r="G76" s="436">
        <f>F76/conv_kgPm</f>
        <v>0.38</v>
      </c>
      <c r="H76" s="434"/>
      <c r="I76" s="644"/>
      <c r="J76" s="48">
        <f>IF(A76=0,$G$54,COUNTIF($J$60:J75,"&lt;"&amp;$G$54)+1)</f>
        <v>12</v>
      </c>
      <c r="K76" s="154" t="str">
        <f ca="1">IFERROR(INDEX($D$61:OFFSET($D$61,$G$58-1,0),MATCH(ROW()-ROW($J$60),$J$61:OFFSET($J$61,$G$58-1,0),0)),"")</f>
        <v/>
      </c>
      <c r="L76" s="644"/>
      <c r="M76" s="644"/>
      <c r="N76" s="91"/>
      <c r="O76" s="95"/>
      <c r="P76" s="91"/>
      <c r="Q76" s="26"/>
      <c r="R76" s="35"/>
      <c r="S76" s="26"/>
      <c r="T76" s="16"/>
    </row>
    <row r="77" spans="1:45" ht="15.75" thickTop="1" x14ac:dyDescent="0.25">
      <c r="B77" s="643"/>
      <c r="C77" s="734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7"/>
      <c r="O77" s="103"/>
      <c r="P77" s="17"/>
      <c r="Q77" s="29"/>
      <c r="R77" s="30"/>
      <c r="S77" s="16"/>
      <c r="T77" s="16"/>
    </row>
    <row r="78" spans="1:45" x14ac:dyDescent="0.25">
      <c r="D78" s="30"/>
      <c r="E78" s="76"/>
      <c r="F78" s="76"/>
      <c r="G78" s="105"/>
      <c r="H78" s="16"/>
      <c r="I78" s="17"/>
      <c r="J78" s="103"/>
      <c r="K78" s="17"/>
      <c r="L78" s="29"/>
    </row>
    <row r="79" spans="1:45" x14ac:dyDescent="0.25">
      <c r="C79" s="30"/>
      <c r="D79" s="76"/>
      <c r="E79" s="104"/>
      <c r="F79" s="76"/>
      <c r="G79" s="105"/>
      <c r="H79" s="16"/>
      <c r="I79" s="17"/>
      <c r="J79" s="103"/>
      <c r="K79" s="17"/>
      <c r="L79" s="29"/>
      <c r="M79" s="30"/>
      <c r="N79" s="16"/>
      <c r="O79" s="16"/>
    </row>
    <row r="80" spans="1:45" x14ac:dyDescent="0.25">
      <c r="C80" s="30"/>
      <c r="D80" s="76"/>
      <c r="E80" s="104"/>
      <c r="F80" s="76"/>
      <c r="G80" s="105"/>
      <c r="H80" s="16"/>
      <c r="I80" s="17"/>
      <c r="J80" s="103"/>
      <c r="K80" s="17"/>
      <c r="L80" s="29"/>
      <c r="M80" s="30"/>
      <c r="N80" s="16"/>
      <c r="O80" s="16"/>
    </row>
    <row r="81" spans="1:21" x14ac:dyDescent="0.25">
      <c r="D81" s="106"/>
      <c r="E81" s="16"/>
      <c r="F81" s="16"/>
      <c r="G81" s="456">
        <f ca="1">COUNTA(D83:D89)</f>
        <v>7</v>
      </c>
      <c r="H81" s="16"/>
      <c r="I81" s="16"/>
      <c r="J81" s="472" t="s">
        <v>823</v>
      </c>
      <c r="K81" s="409">
        <f ca="1">IFERROR(MATCH("",K83:K89,0)-1,"")</f>
        <v>4</v>
      </c>
      <c r="L81" s="455" t="s">
        <v>795</v>
      </c>
      <c r="M81" s="16"/>
      <c r="N81" s="16"/>
      <c r="O81" s="107"/>
      <c r="P81" s="107"/>
      <c r="Q81" s="107"/>
      <c r="R81" s="107"/>
      <c r="S81" s="107"/>
      <c r="T81" s="16"/>
      <c r="U81" s="16"/>
    </row>
    <row r="82" spans="1:21" x14ac:dyDescent="0.25">
      <c r="A82" s="468" t="s">
        <v>778</v>
      </c>
      <c r="C82" s="108" t="s">
        <v>127</v>
      </c>
      <c r="D82" s="31" t="s">
        <v>898</v>
      </c>
      <c r="E82" s="109" t="s">
        <v>39</v>
      </c>
      <c r="F82" s="109" t="s">
        <v>41</v>
      </c>
      <c r="G82" s="109" t="s">
        <v>757</v>
      </c>
      <c r="H82" s="16"/>
      <c r="I82" s="16"/>
      <c r="J82" s="458" t="s">
        <v>793</v>
      </c>
      <c r="K82" s="458" t="s">
        <v>794</v>
      </c>
      <c r="M82" s="16"/>
      <c r="N82" s="16"/>
      <c r="O82" s="809" t="s">
        <v>37</v>
      </c>
      <c r="P82" s="809"/>
      <c r="Q82" s="809"/>
      <c r="R82" s="809"/>
      <c r="S82" s="16"/>
      <c r="T82" s="16"/>
      <c r="U82" s="16"/>
    </row>
    <row r="83" spans="1:21" x14ac:dyDescent="0.25">
      <c r="A83" s="453">
        <v>1</v>
      </c>
      <c r="C83" s="110" t="s">
        <v>133</v>
      </c>
      <c r="D83" s="36" t="str">
        <f t="shared" ref="D83:D89" ca="1" si="6">IFERROR(INDEX(Language_Dictionary,MATCH(C83,Language_Base,0),MATCH(Language_Selected,Language_available,0)), C83)</f>
        <v>NONE</v>
      </c>
      <c r="E83" s="110" t="s">
        <v>139</v>
      </c>
      <c r="F83" s="641">
        <v>0</v>
      </c>
      <c r="G83" s="438"/>
      <c r="H83" s="16"/>
      <c r="I83" s="16"/>
      <c r="J83" s="48">
        <f>IF(A83=0,$G$54,COUNTIF($J82:J$82,"&lt;"&amp;$G$54)+1)</f>
        <v>1</v>
      </c>
      <c r="K83" s="154" t="str">
        <f ca="1">IFERROR(INDEX($D$83:OFFSET($D$83,$G$81-1,0),MATCH(ROW()-ROW($J$82),$J$83:OFFSET($J$83,$G$81-1,0),0)),"")</f>
        <v>NONE</v>
      </c>
      <c r="L83" s="16"/>
      <c r="M83" s="16"/>
      <c r="N83" s="16"/>
      <c r="O83" s="16"/>
      <c r="P83" s="16"/>
      <c r="Q83" s="16"/>
      <c r="R83" s="16"/>
      <c r="S83" s="16"/>
      <c r="T83" s="16"/>
      <c r="U83" s="16"/>
    </row>
    <row r="84" spans="1:21" x14ac:dyDescent="0.25">
      <c r="A84" s="453">
        <v>1</v>
      </c>
      <c r="C84" s="110" t="s">
        <v>128</v>
      </c>
      <c r="D84" s="110" t="str">
        <f t="shared" ca="1" si="6"/>
        <v>VB05-0301</v>
      </c>
      <c r="E84" s="110" t="s">
        <v>129</v>
      </c>
      <c r="F84" s="111">
        <v>0.23</v>
      </c>
      <c r="G84" s="438">
        <f>F84/conv_kg</f>
        <v>0.50706316948873043</v>
      </c>
      <c r="H84" s="16"/>
      <c r="I84" s="16"/>
      <c r="J84" s="48">
        <f>IF(A84=0,$G$54,COUNTIF($J$82:J83,"&lt;"&amp;$G$54)+1)</f>
        <v>2</v>
      </c>
      <c r="K84" s="154" t="str">
        <f ca="1">IFERROR(INDEX($D$83:OFFSET($D$83,$G$81-1,0),MATCH(ROW()-ROW($J$82),$J$83:OFFSET($J$83,$G$81-1,0),0)),"")</f>
        <v>VB05-0301</v>
      </c>
      <c r="M84" s="16"/>
      <c r="N84" s="16"/>
      <c r="O84" s="112" t="s">
        <v>130</v>
      </c>
      <c r="P84" s="112" t="s">
        <v>131</v>
      </c>
      <c r="Q84" s="112" t="s">
        <v>132</v>
      </c>
      <c r="R84" s="112" t="s">
        <v>133</v>
      </c>
      <c r="S84" s="16"/>
      <c r="T84" s="16"/>
      <c r="U84" s="16"/>
    </row>
    <row r="85" spans="1:21" x14ac:dyDescent="0.25">
      <c r="A85" s="453">
        <v>0</v>
      </c>
      <c r="C85" s="110" t="s">
        <v>134</v>
      </c>
      <c r="D85" s="110" t="str">
        <f t="shared" ca="1" si="6"/>
        <v>VB05-0301 (x2)</v>
      </c>
      <c r="E85" s="110" t="s">
        <v>135</v>
      </c>
      <c r="F85" s="111">
        <v>0.46</v>
      </c>
      <c r="G85" s="438">
        <f>F85/conv_kg</f>
        <v>1.0141263389774609</v>
      </c>
      <c r="H85" s="16"/>
      <c r="I85" s="16"/>
      <c r="J85" s="48">
        <f>IF(A85=0,$G$54,COUNTIF($J$82:J84,"&lt;"&amp;$G$54)+1)</f>
        <v>200</v>
      </c>
      <c r="K85" s="154" t="str">
        <f ca="1">IFERROR(INDEX($D$83:OFFSET($D$83,$G$81-1,0),MATCH(ROW()-ROW($J$82),$J$83:OFFSET($J$83,$G$81-1,0),0)),"")</f>
        <v>SB91-1003</v>
      </c>
      <c r="L85" s="16"/>
      <c r="M85" s="16"/>
      <c r="N85" s="16"/>
      <c r="O85" s="113" t="s">
        <v>128</v>
      </c>
      <c r="P85" s="113" t="s">
        <v>128</v>
      </c>
      <c r="Q85" s="113" t="s">
        <v>136</v>
      </c>
      <c r="R85" s="114" t="s">
        <v>137</v>
      </c>
      <c r="S85" s="16"/>
      <c r="T85" s="16"/>
      <c r="U85" s="16"/>
    </row>
    <row r="86" spans="1:21" ht="18.75" x14ac:dyDescent="0.3">
      <c r="A86" s="453">
        <v>1</v>
      </c>
      <c r="C86" s="110" t="s">
        <v>136</v>
      </c>
      <c r="D86" s="110" t="str">
        <f t="shared" ca="1" si="6"/>
        <v>SB91-1003</v>
      </c>
      <c r="E86" s="110" t="s">
        <v>138</v>
      </c>
      <c r="F86" s="115">
        <v>0.95499999999999996</v>
      </c>
      <c r="G86" s="438">
        <f>F86/conv_kg</f>
        <v>2.10541446461625</v>
      </c>
      <c r="H86" s="116"/>
      <c r="I86" s="116"/>
      <c r="J86" s="48">
        <f>IF(A86=0,$G$54,COUNTIF($J$82:J85,"&lt;"&amp;$G$54)+1)</f>
        <v>3</v>
      </c>
      <c r="K86" s="154" t="str">
        <f ca="1">IFERROR(INDEX($D$83:OFFSET($D$83,$G$81-1,0),MATCH(ROW()-ROW($J$82),$J$83:OFFSET($J$83,$G$81-1,0),0)),"")</f>
        <v>Custom</v>
      </c>
      <c r="L86" s="116"/>
      <c r="M86" s="116"/>
      <c r="N86" s="16"/>
      <c r="O86" s="113" t="s">
        <v>133</v>
      </c>
      <c r="P86" s="113" t="s">
        <v>134</v>
      </c>
      <c r="Q86" s="113" t="s">
        <v>133</v>
      </c>
      <c r="R86" s="117"/>
      <c r="S86" s="16"/>
      <c r="T86" s="16"/>
      <c r="U86" s="16"/>
    </row>
    <row r="87" spans="1:21" x14ac:dyDescent="0.25">
      <c r="A87" s="453">
        <v>0</v>
      </c>
      <c r="C87" s="110" t="s">
        <v>137</v>
      </c>
      <c r="D87" s="110" t="str">
        <f t="shared" ca="1" si="6"/>
        <v>N/A</v>
      </c>
      <c r="E87" s="110" t="s">
        <v>139</v>
      </c>
      <c r="F87" s="111">
        <v>0</v>
      </c>
      <c r="G87" s="438" t="s">
        <v>139</v>
      </c>
      <c r="H87" s="16"/>
      <c r="I87" s="16"/>
      <c r="J87" s="48">
        <f>IF(A87=0,$G$54,COUNTIF($J$82:J86,"&lt;"&amp;$G$54)+1)</f>
        <v>200</v>
      </c>
      <c r="K87" s="154" t="str">
        <f ca="1">IFERROR(INDEX($D$83:OFFSET($D$83,$G$81-1,0),MATCH(ROW()-ROW($J$82),$J$83:OFFSET($J$83,$G$81-1,0),0)),"")</f>
        <v/>
      </c>
      <c r="L87" s="16"/>
      <c r="M87" s="16"/>
      <c r="N87" s="16"/>
      <c r="O87" s="113"/>
      <c r="P87" s="113" t="s">
        <v>133</v>
      </c>
      <c r="Q87" s="113"/>
      <c r="R87" s="114"/>
      <c r="S87" s="16"/>
      <c r="T87" s="16"/>
      <c r="U87" s="16"/>
    </row>
    <row r="88" spans="1:21" x14ac:dyDescent="0.25">
      <c r="A88" s="453">
        <v>0</v>
      </c>
      <c r="C88" s="110" t="s">
        <v>133</v>
      </c>
      <c r="D88" s="110" t="str">
        <f t="shared" ca="1" si="6"/>
        <v>NONE</v>
      </c>
      <c r="E88" s="110" t="s">
        <v>139</v>
      </c>
      <c r="F88" s="111">
        <v>0</v>
      </c>
      <c r="G88" s="438"/>
      <c r="H88" s="16"/>
      <c r="I88" s="16"/>
      <c r="J88" s="48">
        <f>IF(A88=0,$G$54,COUNTIF($J$82:J87,"&lt;"&amp;$G$54)+1)</f>
        <v>200</v>
      </c>
      <c r="K88" s="154" t="str">
        <f ca="1">IFERROR(INDEX($D$83:OFFSET($D$83,$G$81-1,0),MATCH(ROW()-ROW($J$82),$J$83:OFFSET($J$83,$G$81-1,0),0)),"")</f>
        <v/>
      </c>
      <c r="L88" s="16"/>
      <c r="M88" s="16"/>
      <c r="N88" s="16"/>
      <c r="O88" s="16"/>
      <c r="P88" s="16"/>
      <c r="Q88" s="16"/>
      <c r="R88" s="16"/>
      <c r="S88" s="16"/>
      <c r="T88" s="16"/>
      <c r="U88" s="16"/>
    </row>
    <row r="89" spans="1:21" x14ac:dyDescent="0.25">
      <c r="A89" s="453">
        <v>1</v>
      </c>
      <c r="C89" s="412" t="s">
        <v>150</v>
      </c>
      <c r="D89" s="412" t="str">
        <f t="shared" ca="1" si="6"/>
        <v>Custom</v>
      </c>
      <c r="E89" s="412" t="s">
        <v>621</v>
      </c>
      <c r="F89" s="413">
        <f>Main!AF76*conv_kg</f>
        <v>9.0718480000000004E-2</v>
      </c>
      <c r="G89" s="439">
        <f>F89/conv_kg</f>
        <v>0.2</v>
      </c>
      <c r="H89" s="16"/>
      <c r="I89" s="16"/>
      <c r="J89" s="48">
        <f>IF(A89=0,$G$54,COUNTIF($J$82:J88,"&lt;"&amp;$G$54)+1)</f>
        <v>4</v>
      </c>
      <c r="K89" s="154" t="str">
        <f ca="1">IFERROR(INDEX($D$83:OFFSET($D$83,$G$81-1,0),MATCH(ROW()-ROW($J$82),$J$83:OFFSET($J$83,$G$81-1,0),0)),"")</f>
        <v/>
      </c>
      <c r="L89" s="16"/>
      <c r="M89" s="16"/>
      <c r="N89" s="16"/>
      <c r="O89" s="410"/>
      <c r="P89" s="410"/>
      <c r="Q89" s="410"/>
      <c r="R89" s="411"/>
      <c r="S89" s="16"/>
      <c r="T89" s="16"/>
      <c r="U89" s="16"/>
    </row>
    <row r="90" spans="1:21" x14ac:dyDescent="0.25">
      <c r="A90" s="116"/>
      <c r="B90" s="116"/>
      <c r="C90" s="116"/>
      <c r="D90" s="16"/>
      <c r="E90" s="116"/>
      <c r="F90" s="116"/>
      <c r="G90" s="116"/>
      <c r="H90" s="16"/>
      <c r="I90" s="16"/>
      <c r="J90" s="457"/>
      <c r="K90" s="733"/>
      <c r="L90" s="16"/>
      <c r="M90" s="16"/>
      <c r="N90" s="16"/>
      <c r="O90" s="410"/>
      <c r="P90" s="410"/>
      <c r="Q90" s="410"/>
      <c r="R90" s="411"/>
      <c r="S90" s="16"/>
      <c r="T90" s="16"/>
      <c r="U90" s="16"/>
    </row>
    <row r="91" spans="1:21" x14ac:dyDescent="0.25">
      <c r="A91" s="116"/>
      <c r="B91" s="116"/>
      <c r="C91" s="116"/>
      <c r="D91" s="34"/>
      <c r="E91" s="116"/>
      <c r="F91" s="116"/>
      <c r="G91" s="116"/>
      <c r="H91" s="16"/>
      <c r="I91" s="16"/>
      <c r="J91" s="457"/>
      <c r="K91" s="733"/>
      <c r="L91" s="16"/>
      <c r="M91" s="16"/>
      <c r="N91" s="16"/>
      <c r="O91" s="410"/>
      <c r="P91" s="410"/>
      <c r="Q91" s="410"/>
      <c r="R91" s="411"/>
      <c r="S91" s="16"/>
      <c r="T91" s="16"/>
      <c r="U91" s="16"/>
    </row>
    <row r="92" spans="1:21" x14ac:dyDescent="0.25">
      <c r="D92" s="17"/>
      <c r="E92" s="17"/>
      <c r="F92" s="43"/>
      <c r="G92" s="17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</row>
    <row r="93" spans="1:21" x14ac:dyDescent="0.25">
      <c r="C93" s="118" t="s">
        <v>140</v>
      </c>
      <c r="D93" s="118" t="s">
        <v>141</v>
      </c>
      <c r="E93" s="119"/>
      <c r="F93" s="16"/>
      <c r="G93" s="16"/>
      <c r="H93" s="16"/>
      <c r="I93" s="16"/>
      <c r="J93" s="16"/>
      <c r="K93" s="16"/>
      <c r="L93" s="16"/>
      <c r="M93" s="16"/>
      <c r="N93" s="16"/>
    </row>
    <row r="94" spans="1:21" x14ac:dyDescent="0.25">
      <c r="C94" s="120" t="s">
        <v>96</v>
      </c>
      <c r="D94" s="114" t="s">
        <v>130</v>
      </c>
      <c r="E94" s="119"/>
      <c r="F94" s="16"/>
      <c r="G94" s="16"/>
      <c r="H94" s="16"/>
      <c r="I94" s="16"/>
      <c r="J94" s="16"/>
      <c r="K94" s="16"/>
      <c r="L94" s="16"/>
      <c r="M94" s="16"/>
      <c r="N94" s="16"/>
    </row>
    <row r="95" spans="1:21" ht="18.75" x14ac:dyDescent="0.3">
      <c r="C95" s="120" t="s">
        <v>98</v>
      </c>
      <c r="D95" s="114" t="s">
        <v>130</v>
      </c>
      <c r="E95" s="121"/>
      <c r="F95" s="16"/>
      <c r="G95" s="16"/>
      <c r="H95" s="16"/>
      <c r="I95" s="16"/>
      <c r="J95" s="16"/>
      <c r="K95" s="16"/>
      <c r="L95" s="16"/>
      <c r="M95" s="16"/>
      <c r="N95" s="16"/>
    </row>
    <row r="96" spans="1:21" x14ac:dyDescent="0.25">
      <c r="C96" s="120" t="s">
        <v>101</v>
      </c>
      <c r="D96" s="114" t="s">
        <v>130</v>
      </c>
      <c r="E96" s="119"/>
      <c r="F96" s="16"/>
      <c r="G96" s="16"/>
      <c r="H96" s="16"/>
      <c r="I96" s="16"/>
      <c r="J96" s="16"/>
      <c r="K96" s="16"/>
      <c r="L96" s="16"/>
      <c r="M96" s="16"/>
      <c r="N96" s="16"/>
    </row>
    <row r="97" spans="1:15" x14ac:dyDescent="0.25">
      <c r="C97" s="120" t="s">
        <v>104</v>
      </c>
      <c r="D97" s="114" t="s">
        <v>130</v>
      </c>
      <c r="E97" s="119"/>
      <c r="F97" s="119"/>
      <c r="G97" s="119"/>
      <c r="H97" s="119"/>
      <c r="I97" s="119"/>
      <c r="J97" s="16"/>
      <c r="K97" s="16"/>
      <c r="L97" s="16"/>
      <c r="M97" s="16"/>
      <c r="N97" s="16"/>
    </row>
    <row r="98" spans="1:15" x14ac:dyDescent="0.25">
      <c r="C98" s="120" t="s">
        <v>106</v>
      </c>
      <c r="D98" s="114" t="s">
        <v>130</v>
      </c>
      <c r="E98" s="119"/>
      <c r="F98" s="119"/>
      <c r="G98" s="119"/>
      <c r="H98" s="119"/>
      <c r="I98" s="119"/>
      <c r="J98" s="16"/>
      <c r="K98" s="16"/>
      <c r="L98" s="16"/>
      <c r="M98" s="16"/>
      <c r="N98" s="16"/>
    </row>
    <row r="99" spans="1:15" x14ac:dyDescent="0.25">
      <c r="C99" s="120" t="s">
        <v>108</v>
      </c>
      <c r="D99" s="114" t="s">
        <v>131</v>
      </c>
      <c r="E99" s="119"/>
      <c r="F99" s="119"/>
      <c r="G99" s="119"/>
      <c r="H99" s="119"/>
      <c r="I99" s="119"/>
      <c r="J99" s="16"/>
      <c r="K99" s="16"/>
      <c r="L99" s="16"/>
      <c r="M99" s="16"/>
      <c r="N99" s="16"/>
    </row>
    <row r="100" spans="1:15" x14ac:dyDescent="0.25">
      <c r="C100" s="120" t="s">
        <v>111</v>
      </c>
      <c r="D100" s="114" t="s">
        <v>133</v>
      </c>
      <c r="E100" s="119"/>
      <c r="F100" s="119"/>
      <c r="G100" s="119"/>
      <c r="H100" s="119"/>
      <c r="I100" s="119"/>
      <c r="J100" s="16"/>
      <c r="K100" s="16"/>
      <c r="L100" s="16"/>
      <c r="M100" s="16"/>
      <c r="N100" s="16"/>
    </row>
    <row r="101" spans="1:15" x14ac:dyDescent="0.25">
      <c r="C101" s="120" t="s">
        <v>113</v>
      </c>
      <c r="D101" s="114" t="s">
        <v>132</v>
      </c>
      <c r="E101" s="119"/>
      <c r="F101" s="119"/>
      <c r="G101" s="119"/>
      <c r="H101" s="119"/>
      <c r="I101" s="119"/>
      <c r="J101" s="16"/>
      <c r="K101" s="16"/>
      <c r="L101" s="16"/>
      <c r="M101" s="16"/>
      <c r="N101" s="16"/>
    </row>
    <row r="102" spans="1:15" x14ac:dyDescent="0.25">
      <c r="C102" s="120" t="s">
        <v>115</v>
      </c>
      <c r="D102" s="114" t="s">
        <v>132</v>
      </c>
      <c r="E102" s="119"/>
      <c r="F102" s="119"/>
      <c r="G102" s="119"/>
      <c r="H102" s="119"/>
      <c r="I102" s="119"/>
      <c r="J102" s="16"/>
      <c r="K102" s="16"/>
      <c r="L102" s="16"/>
      <c r="M102" s="16"/>
      <c r="N102" s="16"/>
    </row>
    <row r="103" spans="1:15" x14ac:dyDescent="0.25">
      <c r="C103" s="120" t="s">
        <v>117</v>
      </c>
      <c r="D103" s="114" t="s">
        <v>133</v>
      </c>
      <c r="E103" s="119"/>
      <c r="F103" s="119"/>
      <c r="G103" s="119"/>
      <c r="H103" s="119"/>
      <c r="I103" s="119"/>
      <c r="J103" s="16"/>
      <c r="K103" s="16"/>
      <c r="L103" s="16"/>
      <c r="M103" s="16"/>
      <c r="N103" s="16"/>
    </row>
    <row r="104" spans="1:15" x14ac:dyDescent="0.25">
      <c r="C104" s="120" t="s">
        <v>121</v>
      </c>
      <c r="D104" s="114" t="s">
        <v>132</v>
      </c>
      <c r="E104" s="119"/>
      <c r="F104" s="119"/>
      <c r="G104" s="119"/>
      <c r="H104" s="119"/>
      <c r="I104" s="119"/>
      <c r="J104" s="16"/>
      <c r="K104" s="16"/>
      <c r="L104" s="16"/>
      <c r="M104" s="16"/>
      <c r="N104" s="16"/>
    </row>
    <row r="105" spans="1:15" x14ac:dyDescent="0.25">
      <c r="C105" s="114" t="s">
        <v>119</v>
      </c>
      <c r="D105" s="114" t="s">
        <v>132</v>
      </c>
      <c r="E105" s="119"/>
      <c r="F105" s="119"/>
      <c r="G105" s="119"/>
      <c r="H105" s="119"/>
      <c r="I105" s="119"/>
      <c r="J105" s="16"/>
      <c r="K105" s="16"/>
      <c r="L105" s="16"/>
      <c r="M105" s="16"/>
      <c r="N105" s="16"/>
    </row>
    <row r="107" spans="1:15" x14ac:dyDescent="0.25">
      <c r="D107" s="456">
        <f ca="1">COUNTA(D110:D229)</f>
        <v>120</v>
      </c>
    </row>
    <row r="108" spans="1:15" x14ac:dyDescent="0.25">
      <c r="C108" s="415" t="s">
        <v>142</v>
      </c>
      <c r="D108" s="415"/>
      <c r="E108" s="416"/>
      <c r="F108" s="416"/>
      <c r="G108" s="416"/>
      <c r="H108" s="416"/>
      <c r="I108" s="416"/>
      <c r="J108" s="417"/>
      <c r="L108" s="472" t="s">
        <v>821</v>
      </c>
      <c r="M108" s="409">
        <f ca="1">IFERROR(MATCH("",M110:M228,0)-1,"")</f>
        <v>116</v>
      </c>
      <c r="N108" s="455" t="s">
        <v>822</v>
      </c>
    </row>
    <row r="109" spans="1:15" x14ac:dyDescent="0.25">
      <c r="A109" s="468" t="s">
        <v>778</v>
      </c>
      <c r="C109" s="418" t="s">
        <v>143</v>
      </c>
      <c r="D109" s="31" t="s">
        <v>898</v>
      </c>
      <c r="E109" s="418"/>
      <c r="F109" s="418" t="s">
        <v>625</v>
      </c>
      <c r="G109" s="122" t="s">
        <v>144</v>
      </c>
      <c r="H109" s="122" t="s">
        <v>626</v>
      </c>
      <c r="I109" s="122" t="s">
        <v>627</v>
      </c>
      <c r="J109" s="122" t="s">
        <v>145</v>
      </c>
      <c r="L109" s="458" t="s">
        <v>793</v>
      </c>
      <c r="M109" s="458" t="s">
        <v>794</v>
      </c>
      <c r="N109" s="458" t="s">
        <v>820</v>
      </c>
      <c r="O109" s="458" t="s">
        <v>819</v>
      </c>
    </row>
    <row r="110" spans="1:15" x14ac:dyDescent="0.25">
      <c r="A110" s="453">
        <v>0</v>
      </c>
      <c r="C110" s="123" t="s">
        <v>146</v>
      </c>
      <c r="D110" s="36" t="str">
        <f t="shared" ref="D110:D141" ca="1" si="7">IFERROR(INDEX(Language_Dictionary,MATCH(C110,Language_Base,0),MATCH(Language_Selected,Language_available,0)), C110)</f>
        <v>Ferrari Soltis 93</v>
      </c>
      <c r="E110" s="124"/>
      <c r="F110" s="124"/>
      <c r="G110" s="125">
        <v>420</v>
      </c>
      <c r="H110" s="420">
        <f t="shared" ref="H110:H141" si="8">F110/conv_mm</f>
        <v>0</v>
      </c>
      <c r="I110" s="419">
        <f t="shared" ref="I110:I141" si="9">G110/conv_gsm</f>
        <v>12.387282324356814</v>
      </c>
      <c r="J110" s="126">
        <f t="shared" ref="J110:J229" si="10">G110/1000</f>
        <v>0.42</v>
      </c>
      <c r="L110" s="48">
        <f>IF(A110=0,$G$54,COUNTIF($L$109:L109,"&lt;"&amp;$G$54)+1)</f>
        <v>200</v>
      </c>
      <c r="M110" s="6" t="str">
        <f ca="1">IFERROR(INDEX($D$110:OFFSET($D$110,$D$107-1,0),MATCH(ROW()-ROW($L$109),$L$110:OFFSET($L$110,$D$107-1,0),0)),"")</f>
        <v>Alkenz 3000 CA Series - can't be railroaded.</v>
      </c>
      <c r="N110" s="420">
        <f t="shared" ref="N110:N141" ca="1" si="11">VLOOKUP(M110,fabric_lookup,5,FALSE)</f>
        <v>1.7999999881200001E-2</v>
      </c>
      <c r="O110" s="419">
        <f t="shared" ref="O110:O141" ca="1" si="12">VLOOKUP(M110,fabric_lookup,6,FALSE)</f>
        <v>9.4400014824759904</v>
      </c>
    </row>
    <row r="111" spans="1:15" x14ac:dyDescent="0.25">
      <c r="A111" s="453">
        <v>0</v>
      </c>
      <c r="C111" s="127" t="s">
        <v>147</v>
      </c>
      <c r="D111" s="127" t="str">
        <f t="shared" ca="1" si="7"/>
        <v>Mermet: Sunscreen Satine 5500 (used at R&amp;T)</v>
      </c>
      <c r="E111" s="128"/>
      <c r="F111" s="128"/>
      <c r="G111" s="125">
        <v>520</v>
      </c>
      <c r="H111" s="420">
        <f t="shared" si="8"/>
        <v>0</v>
      </c>
      <c r="I111" s="419">
        <f t="shared" si="9"/>
        <v>15.336635258727483</v>
      </c>
      <c r="J111" s="126">
        <f t="shared" ref="J111:J174" si="13">G111/1000</f>
        <v>0.52</v>
      </c>
      <c r="L111" s="48">
        <f>IF(A111=0,$G$54,COUNTIF($L$109:L110,"&lt;"&amp;$G$54)+1)</f>
        <v>200</v>
      </c>
      <c r="M111" s="6" t="str">
        <f ca="1">IFERROR(INDEX($D$110:OFFSET($D$110,$D$107-1,0),MATCH(ROW()-ROW($L$109),$L$110:OFFSET($L$110,$D$107-1,0),0)),"")</f>
        <v>Alkenz 3000 HT Series 3% - can't be railroaded.</v>
      </c>
      <c r="N111" s="420">
        <f t="shared" ca="1" si="11"/>
        <v>2.3999999841600003E-2</v>
      </c>
      <c r="O111" s="419">
        <f t="shared" ca="1" si="12"/>
        <v>12.240001922193448</v>
      </c>
    </row>
    <row r="112" spans="1:15" x14ac:dyDescent="0.25">
      <c r="A112" s="453">
        <v>0</v>
      </c>
      <c r="C112" s="123" t="s">
        <v>148</v>
      </c>
      <c r="D112" s="123" t="str">
        <f t="shared" ca="1" si="7"/>
        <v>Soltis Blockout (B99, B92, B702)</v>
      </c>
      <c r="E112" s="124"/>
      <c r="F112" s="124"/>
      <c r="G112" s="125">
        <v>750</v>
      </c>
      <c r="H112" s="420">
        <f t="shared" si="8"/>
        <v>0</v>
      </c>
      <c r="I112" s="419">
        <f t="shared" si="9"/>
        <v>22.120147007780023</v>
      </c>
      <c r="J112" s="126">
        <f t="shared" si="13"/>
        <v>0.75</v>
      </c>
      <c r="L112" s="48">
        <f>IF(A112=0,$G$54,COUNTIF($L$109:L111,"&lt;"&amp;$G$54)+1)</f>
        <v>200</v>
      </c>
      <c r="M112" s="6" t="str">
        <f ca="1">IFERROR(INDEX($D$110:OFFSET($D$110,$D$107-1,0),MATCH(ROW()-ROW($L$109),$L$110:OFFSET($L$110,$D$107-1,0),0)),"")</f>
        <v>Alkenz 3000 HT Series 5% - can't be railroaded.</v>
      </c>
      <c r="N112" s="420">
        <f t="shared" ca="1" si="11"/>
        <v>2.5999999828400001E-2</v>
      </c>
      <c r="O112" s="419">
        <f t="shared" ca="1" si="12"/>
        <v>11.650001829538699</v>
      </c>
    </row>
    <row r="113" spans="1:15" x14ac:dyDescent="0.25">
      <c r="A113" s="453">
        <v>0</v>
      </c>
      <c r="C113" s="127" t="s">
        <v>149</v>
      </c>
      <c r="D113" s="127" t="str">
        <f t="shared" ca="1" si="7"/>
        <v>Externals Fabric</v>
      </c>
      <c r="E113" s="128"/>
      <c r="F113" s="128"/>
      <c r="G113" s="421">
        <v>573</v>
      </c>
      <c r="H113" s="420">
        <f t="shared" si="8"/>
        <v>0</v>
      </c>
      <c r="I113" s="419">
        <f t="shared" si="9"/>
        <v>16.899792313943937</v>
      </c>
      <c r="J113" s="126">
        <f t="shared" si="13"/>
        <v>0.57299999999999995</v>
      </c>
      <c r="L113" s="48">
        <f>IF(A113=0,$G$54,COUNTIF($L$109:L112,"&lt;"&amp;$G$54)+1)</f>
        <v>200</v>
      </c>
      <c r="M113" s="6" t="str">
        <f ca="1">IFERROR(INDEX($D$110:OFFSET($D$110,$D$107-1,0),MATCH(ROW()-ROW($L$109),$L$110:OFFSET($L$110,$D$107-1,0),0)),"")</f>
        <v>Alkenz 3000 Net Series 1%</v>
      </c>
      <c r="N113" s="420">
        <f t="shared" ca="1" si="11"/>
        <v>2.5999999828400001E-2</v>
      </c>
      <c r="O113" s="419">
        <f t="shared" ca="1" si="12"/>
        <v>15.280002399600971</v>
      </c>
    </row>
    <row r="114" spans="1:15" outlineLevel="1" x14ac:dyDescent="0.25">
      <c r="A114" s="453">
        <v>1</v>
      </c>
      <c r="B114" s="821" t="s">
        <v>742</v>
      </c>
      <c r="C114" s="127" t="s">
        <v>628</v>
      </c>
      <c r="D114" s="127" t="str">
        <f t="shared" ca="1" si="7"/>
        <v>Alkenz 3000 CA Series - can't be railroaded.</v>
      </c>
      <c r="E114" s="128"/>
      <c r="F114" s="422">
        <v>0.45719999698247998</v>
      </c>
      <c r="G114" s="423">
        <v>320.07025583359996</v>
      </c>
      <c r="H114" s="420">
        <f t="shared" si="8"/>
        <v>1.7999999881200001E-2</v>
      </c>
      <c r="I114" s="419">
        <f t="shared" si="9"/>
        <v>9.4400014824759904</v>
      </c>
      <c r="J114" s="126">
        <f t="shared" si="13"/>
        <v>0.32007025583359994</v>
      </c>
      <c r="L114" s="48">
        <f>IF(A114=0,$G$54,COUNTIF($L$109:L113,"&lt;"&amp;$G$54)+1)</f>
        <v>1</v>
      </c>
      <c r="M114" s="6" t="str">
        <f ca="1">IFERROR(INDEX($D$110:OFFSET($D$110,$D$107-1,0),MATCH(ROW()-ROW($L$109),$L$110:OFFSET($L$110,$D$107-1,0),0)),"")</f>
        <v>Alkenz 3000 Net Series 10%</v>
      </c>
      <c r="N114" s="420">
        <f t="shared" ca="1" si="11"/>
        <v>1.9999999867999999E-2</v>
      </c>
      <c r="O114" s="419">
        <f t="shared" ca="1" si="12"/>
        <v>11.360001783996534</v>
      </c>
    </row>
    <row r="115" spans="1:15" outlineLevel="1" x14ac:dyDescent="0.25">
      <c r="A115" s="453">
        <v>1</v>
      </c>
      <c r="B115" s="821"/>
      <c r="C115" s="127" t="s">
        <v>629</v>
      </c>
      <c r="D115" s="127" t="str">
        <f t="shared" ca="1" si="7"/>
        <v>Alkenz 3000 HT Series 3% - can't be railroaded.</v>
      </c>
      <c r="E115" s="128"/>
      <c r="F115" s="422">
        <v>0.60959999597664005</v>
      </c>
      <c r="G115" s="423">
        <v>415.0063486656</v>
      </c>
      <c r="H115" s="420">
        <f t="shared" si="8"/>
        <v>2.3999999841600003E-2</v>
      </c>
      <c r="I115" s="419">
        <f t="shared" si="9"/>
        <v>12.240001922193448</v>
      </c>
      <c r="J115" s="126">
        <f t="shared" si="13"/>
        <v>0.41500634866559999</v>
      </c>
      <c r="L115" s="48">
        <f>IF(A115=0,$G$54,COUNTIF($L$109:L114,"&lt;"&amp;$G$54)+1)</f>
        <v>2</v>
      </c>
      <c r="M115" s="6" t="str">
        <f ca="1">IFERROR(INDEX($D$110:OFFSET($D$110,$D$107-1,0),MATCH(ROW()-ROW($L$109),$L$110:OFFSET($L$110,$D$107-1,0),0)),"")</f>
        <v>Alkenz 3000 Net Series 3%</v>
      </c>
      <c r="N115" s="420">
        <f t="shared" ca="1" si="11"/>
        <v>2.1999999854800001E-2</v>
      </c>
      <c r="O115" s="419">
        <f t="shared" ca="1" si="12"/>
        <v>13.120002060390362</v>
      </c>
    </row>
    <row r="116" spans="1:15" outlineLevel="1" x14ac:dyDescent="0.25">
      <c r="A116" s="453">
        <v>1</v>
      </c>
      <c r="B116" s="821"/>
      <c r="C116" s="127" t="s">
        <v>630</v>
      </c>
      <c r="D116" s="127" t="str">
        <f t="shared" ca="1" si="7"/>
        <v>Alkenz 3000 HT Series 5% - can't be railroaded.</v>
      </c>
      <c r="E116" s="128"/>
      <c r="F116" s="422">
        <v>0.66039999564135998</v>
      </c>
      <c r="G116" s="423">
        <v>395.00195767600002</v>
      </c>
      <c r="H116" s="420">
        <f t="shared" si="8"/>
        <v>2.5999999828400001E-2</v>
      </c>
      <c r="I116" s="419">
        <f t="shared" si="9"/>
        <v>11.650001829538699</v>
      </c>
      <c r="J116" s="126">
        <f t="shared" si="13"/>
        <v>0.39500195767599999</v>
      </c>
      <c r="L116" s="48">
        <f>IF(A116=0,$G$54,COUNTIF($L$109:L115,"&lt;"&amp;$G$54)+1)</f>
        <v>3</v>
      </c>
      <c r="M116" s="6" t="str">
        <f ca="1">IFERROR(INDEX($D$110:OFFSET($D$110,$D$107-1,0),MATCH(ROW()-ROW($L$109),$L$110:OFFSET($L$110,$D$107-1,0),0)),"")</f>
        <v>Alkenz 3000 Net Series 5%</v>
      </c>
      <c r="N116" s="420">
        <f t="shared" ca="1" si="11"/>
        <v>1.9999999867999999E-2</v>
      </c>
      <c r="O116" s="419">
        <f t="shared" ca="1" si="12"/>
        <v>11.360001783996534</v>
      </c>
    </row>
    <row r="117" spans="1:15" outlineLevel="1" x14ac:dyDescent="0.25">
      <c r="A117" s="453">
        <v>1</v>
      </c>
      <c r="B117" s="821"/>
      <c r="C117" s="127" t="s">
        <v>631</v>
      </c>
      <c r="D117" s="127" t="str">
        <f t="shared" ca="1" si="7"/>
        <v>Alkenz 3000 Net Series 1%</v>
      </c>
      <c r="E117" s="128"/>
      <c r="F117" s="422">
        <v>0.66039999564135998</v>
      </c>
      <c r="G117" s="423">
        <v>518.0798208832</v>
      </c>
      <c r="H117" s="420">
        <f t="shared" si="8"/>
        <v>2.5999999828400001E-2</v>
      </c>
      <c r="I117" s="419">
        <f t="shared" si="9"/>
        <v>15.280002399600971</v>
      </c>
      <c r="J117" s="126">
        <f t="shared" si="13"/>
        <v>0.51807982088320004</v>
      </c>
      <c r="L117" s="48">
        <f>IF(A117=0,$G$54,COUNTIF($L$109:L116,"&lt;"&amp;$G$54)+1)</f>
        <v>4</v>
      </c>
      <c r="M117" s="6" t="str">
        <f ca="1">IFERROR(INDEX($D$110:OFFSET($D$110,$D$107-1,0),MATCH(ROW()-ROW($L$109),$L$110:OFFSET($L$110,$D$107-1,0),0)),"")</f>
        <v>Alkenz 3000 RR Series - can't be railroaded.</v>
      </c>
      <c r="N117" s="420">
        <f t="shared" ca="1" si="11"/>
        <v>2.2099999854140004E-2</v>
      </c>
      <c r="O117" s="419">
        <f t="shared" ca="1" si="12"/>
        <v>12.530001967735613</v>
      </c>
    </row>
    <row r="118" spans="1:15" outlineLevel="1" x14ac:dyDescent="0.25">
      <c r="A118" s="453">
        <v>1</v>
      </c>
      <c r="B118" s="821"/>
      <c r="C118" s="127" t="s">
        <v>632</v>
      </c>
      <c r="D118" s="127" t="str">
        <f t="shared" ca="1" si="7"/>
        <v>Alkenz 3000 Net Series 10%</v>
      </c>
      <c r="E118" s="128"/>
      <c r="F118" s="422">
        <v>0.50799999664719997</v>
      </c>
      <c r="G118" s="423">
        <v>385.16929091840001</v>
      </c>
      <c r="H118" s="420">
        <f t="shared" si="8"/>
        <v>1.9999999867999999E-2</v>
      </c>
      <c r="I118" s="419">
        <f t="shared" si="9"/>
        <v>11.360001783996534</v>
      </c>
      <c r="J118" s="126">
        <f t="shared" si="13"/>
        <v>0.38516929091840002</v>
      </c>
      <c r="L118" s="48">
        <f>IF(A118=0,$G$54,COUNTIF($L$109:L117,"&lt;"&amp;$G$54)+1)</f>
        <v>5</v>
      </c>
      <c r="M118" s="6" t="str">
        <f ca="1">IFERROR(INDEX($D$110:OFFSET($D$110,$D$107-1,0),MATCH(ROW()-ROW($L$109),$L$110:OFFSET($L$110,$D$107-1,0),0)),"")</f>
        <v>Alkenz 3000 View R Series - can't be railroaded.</v>
      </c>
      <c r="N118" s="420">
        <f t="shared" ca="1" si="11"/>
        <v>3.1999999788799999E-2</v>
      </c>
      <c r="O118" s="419">
        <f t="shared" ca="1" si="12"/>
        <v>13.420002107502947</v>
      </c>
    </row>
    <row r="119" spans="1:15" outlineLevel="1" x14ac:dyDescent="0.25">
      <c r="A119" s="453">
        <v>1</v>
      </c>
      <c r="B119" s="821"/>
      <c r="C119" s="127" t="s">
        <v>633</v>
      </c>
      <c r="D119" s="127" t="str">
        <f t="shared" ca="1" si="7"/>
        <v>Alkenz 3000 Net Series 3%</v>
      </c>
      <c r="E119" s="128"/>
      <c r="F119" s="422">
        <v>0.55879999631192001</v>
      </c>
      <c r="G119" s="423">
        <v>444.84340641279999</v>
      </c>
      <c r="H119" s="420">
        <f t="shared" si="8"/>
        <v>2.1999999854800001E-2</v>
      </c>
      <c r="I119" s="419">
        <f t="shared" si="9"/>
        <v>13.120002060390362</v>
      </c>
      <c r="J119" s="126">
        <f t="shared" si="13"/>
        <v>0.44484340641280001</v>
      </c>
      <c r="L119" s="48">
        <f>IF(A119=0,$G$54,COUNTIF($L$109:L118,"&lt;"&amp;$G$54)+1)</f>
        <v>6</v>
      </c>
      <c r="M119" s="6" t="str">
        <f ca="1">IFERROR(INDEX($D$110:OFFSET($D$110,$D$107-1,0),MATCH(ROW()-ROW($L$109),$L$110:OFFSET($L$110,$D$107-1,0),0)),"")</f>
        <v>Alkenz 4000 L Series - can't be railroaded.</v>
      </c>
      <c r="N119" s="420">
        <f t="shared" ca="1" si="11"/>
        <v>2.5599999831040002E-2</v>
      </c>
      <c r="O119" s="419">
        <f t="shared" ca="1" si="12"/>
        <v>13.120002060390362</v>
      </c>
    </row>
    <row r="120" spans="1:15" outlineLevel="1" x14ac:dyDescent="0.25">
      <c r="A120" s="453">
        <v>1</v>
      </c>
      <c r="B120" s="821"/>
      <c r="C120" s="127" t="s">
        <v>634</v>
      </c>
      <c r="D120" s="127" t="str">
        <f t="shared" ca="1" si="7"/>
        <v>Alkenz 3000 Net Series 5%</v>
      </c>
      <c r="E120" s="128"/>
      <c r="F120" s="422">
        <v>0.50799999664719997</v>
      </c>
      <c r="G120" s="423">
        <v>385.16929091840001</v>
      </c>
      <c r="H120" s="420">
        <f t="shared" si="8"/>
        <v>1.9999999867999999E-2</v>
      </c>
      <c r="I120" s="419">
        <f t="shared" si="9"/>
        <v>11.360001783996534</v>
      </c>
      <c r="J120" s="126">
        <f t="shared" si="13"/>
        <v>0.38516929091840002</v>
      </c>
      <c r="L120" s="48">
        <f>IF(A120=0,$G$54,COUNTIF($L$109:L119,"&lt;"&amp;$G$54)+1)</f>
        <v>7</v>
      </c>
      <c r="M120" s="6" t="str">
        <f ca="1">IFERROR(INDEX($D$110:OFFSET($D$110,$D$107-1,0),MATCH(ROW()-ROW($L$109),$L$110:OFFSET($L$110,$D$107-1,0),0)),"")</f>
        <v>Alkenz 4000 Net Series  3%</v>
      </c>
      <c r="N120" s="420">
        <f t="shared" ca="1" si="11"/>
        <v>2.8999999808600001E-2</v>
      </c>
      <c r="O120" s="419">
        <f t="shared" ca="1" si="12"/>
        <v>16.070002523664108</v>
      </c>
    </row>
    <row r="121" spans="1:15" outlineLevel="1" x14ac:dyDescent="0.25">
      <c r="A121" s="453">
        <v>1</v>
      </c>
      <c r="B121" s="821"/>
      <c r="C121" s="127" t="s">
        <v>635</v>
      </c>
      <c r="D121" s="127" t="str">
        <f t="shared" ca="1" si="7"/>
        <v>Alkenz 3000 RR Series - can't be railroaded.</v>
      </c>
      <c r="E121" s="128"/>
      <c r="F121" s="422">
        <v>0.56133999629515607</v>
      </c>
      <c r="G121" s="423">
        <v>424.83901542320001</v>
      </c>
      <c r="H121" s="420">
        <f t="shared" si="8"/>
        <v>2.2099999854140004E-2</v>
      </c>
      <c r="I121" s="419">
        <f t="shared" si="9"/>
        <v>12.530001967735613</v>
      </c>
      <c r="J121" s="126">
        <f t="shared" si="13"/>
        <v>0.42483901542320002</v>
      </c>
      <c r="L121" s="48">
        <f>IF(A121=0,$G$54,COUNTIF($L$109:L120,"&lt;"&amp;$G$54)+1)</f>
        <v>8</v>
      </c>
      <c r="M121" s="6" t="str">
        <f ca="1">IFERROR(INDEX($D$110:OFFSET($D$110,$D$107-1,0),MATCH(ROW()-ROW($L$109),$L$110:OFFSET($L$110,$D$107-1,0),0)),"")</f>
        <v>Alkenz 4000 Net Series 10%</v>
      </c>
      <c r="N121" s="420">
        <f t="shared" ca="1" si="11"/>
        <v>2.4999999835000002E-2</v>
      </c>
      <c r="O121" s="419">
        <f t="shared" ca="1" si="12"/>
        <v>13.860002176601402</v>
      </c>
    </row>
    <row r="122" spans="1:15" outlineLevel="1" x14ac:dyDescent="0.25">
      <c r="A122" s="453">
        <v>1</v>
      </c>
      <c r="B122" s="821"/>
      <c r="C122" s="127" t="s">
        <v>636</v>
      </c>
      <c r="D122" s="127" t="str">
        <f t="shared" ca="1" si="7"/>
        <v>Alkenz 3000 View R Series - can't be railroaded.</v>
      </c>
      <c r="E122" s="128"/>
      <c r="F122" s="422">
        <v>0.81279999463552</v>
      </c>
      <c r="G122" s="423">
        <v>455.01513064480002</v>
      </c>
      <c r="H122" s="420">
        <f t="shared" si="8"/>
        <v>3.1999999788799999E-2</v>
      </c>
      <c r="I122" s="419">
        <f t="shared" si="9"/>
        <v>13.420002107502947</v>
      </c>
      <c r="J122" s="126">
        <f t="shared" si="13"/>
        <v>0.45501513064480004</v>
      </c>
      <c r="L122" s="48">
        <f>IF(A122=0,$G$54,COUNTIF($L$109:L121,"&lt;"&amp;$G$54)+1)</f>
        <v>9</v>
      </c>
      <c r="M122" s="6" t="str">
        <f ca="1">IFERROR(INDEX($D$110:OFFSET($D$110,$D$107-1,0),MATCH(ROW()-ROW($L$109),$L$110:OFFSET($L$110,$D$107-1,0),0)),"")</f>
        <v>Alkenz 4000 Net Series 5%</v>
      </c>
      <c r="N122" s="420">
        <f t="shared" ca="1" si="11"/>
        <v>2.69999998218E-2</v>
      </c>
      <c r="O122" s="419">
        <f t="shared" ca="1" si="12"/>
        <v>15.340002409023487</v>
      </c>
    </row>
    <row r="123" spans="1:15" outlineLevel="1" x14ac:dyDescent="0.25">
      <c r="A123" s="453">
        <v>1</v>
      </c>
      <c r="B123" s="821"/>
      <c r="C123" s="127" t="s">
        <v>637</v>
      </c>
      <c r="D123" s="127" t="str">
        <f t="shared" ca="1" si="7"/>
        <v>Alkenz 4000 L Series - can't be railroaded.</v>
      </c>
      <c r="E123" s="128"/>
      <c r="F123" s="422">
        <v>0.65023999570841606</v>
      </c>
      <c r="G123" s="423">
        <v>444.84340641279999</v>
      </c>
      <c r="H123" s="420">
        <f t="shared" si="8"/>
        <v>2.5599999831040002E-2</v>
      </c>
      <c r="I123" s="419">
        <f t="shared" si="9"/>
        <v>13.120002060390362</v>
      </c>
      <c r="J123" s="126">
        <f t="shared" si="13"/>
        <v>0.44484340641280001</v>
      </c>
      <c r="L123" s="48">
        <f>IF(A123=0,$G$54,COUNTIF($L$109:L122,"&lt;"&amp;$G$54)+1)</f>
        <v>10</v>
      </c>
      <c r="M123" s="6" t="str">
        <f ca="1">IFERROR(INDEX($D$110:OFFSET($D$110,$D$107-1,0),MATCH(ROW()-ROW($L$109),$L$110:OFFSET($L$110,$D$107-1,0),0)),"")</f>
        <v>Alkenz 4000 W Series - can't be railroaded.</v>
      </c>
      <c r="N123" s="420">
        <f t="shared" ca="1" si="11"/>
        <v>2.69999998218E-2</v>
      </c>
      <c r="O123" s="419">
        <f t="shared" ca="1" si="12"/>
        <v>15.630002454565654</v>
      </c>
    </row>
    <row r="124" spans="1:15" outlineLevel="1" x14ac:dyDescent="0.25">
      <c r="A124" s="453">
        <v>1</v>
      </c>
      <c r="B124" s="821"/>
      <c r="C124" s="127" t="s">
        <v>638</v>
      </c>
      <c r="D124" s="127" t="str">
        <f t="shared" ca="1" si="7"/>
        <v>Alkenz 4000 Net Series  3%</v>
      </c>
      <c r="E124" s="128"/>
      <c r="F124" s="422">
        <v>0.73659999513843999</v>
      </c>
      <c r="G124" s="423">
        <v>544.86536136079997</v>
      </c>
      <c r="H124" s="420">
        <f t="shared" si="8"/>
        <v>2.8999999808600001E-2</v>
      </c>
      <c r="I124" s="419">
        <f t="shared" si="9"/>
        <v>16.070002523664108</v>
      </c>
      <c r="J124" s="126">
        <f t="shared" si="13"/>
        <v>0.54486536136079999</v>
      </c>
      <c r="L124" s="48">
        <f>IF(A124=0,$G$54,COUNTIF($L$109:L123,"&lt;"&amp;$G$54)+1)</f>
        <v>11</v>
      </c>
      <c r="M124" s="6" t="str">
        <f ca="1">IFERROR(INDEX($D$110:OFFSET($D$110,$D$107-1,0),MATCH(ROW()-ROW($L$109),$L$110:OFFSET($L$110,$D$107-1,0),0)),"")</f>
        <v>Alkenz 4700 P Series - can't be railroaded.</v>
      </c>
      <c r="N124" s="420">
        <f t="shared" ca="1" si="11"/>
        <v>3.4999999769000006E-2</v>
      </c>
      <c r="O124" s="419">
        <f t="shared" ca="1" si="12"/>
        <v>18.580002917839398</v>
      </c>
    </row>
    <row r="125" spans="1:15" outlineLevel="1" x14ac:dyDescent="0.25">
      <c r="A125" s="453">
        <v>1</v>
      </c>
      <c r="B125" s="821"/>
      <c r="C125" s="127" t="s">
        <v>639</v>
      </c>
      <c r="D125" s="127" t="str">
        <f t="shared" ca="1" si="7"/>
        <v>Alkenz 4000 Net Series 10%</v>
      </c>
      <c r="E125" s="128"/>
      <c r="F125" s="422">
        <v>0.63499999580900002</v>
      </c>
      <c r="G125" s="423">
        <v>469.93365951839996</v>
      </c>
      <c r="H125" s="420">
        <f t="shared" si="8"/>
        <v>2.4999999835000002E-2</v>
      </c>
      <c r="I125" s="419">
        <f t="shared" si="9"/>
        <v>13.860002176601402</v>
      </c>
      <c r="J125" s="126">
        <f t="shared" si="13"/>
        <v>0.46993365951839994</v>
      </c>
      <c r="L125" s="48">
        <f>IF(A125=0,$G$54,COUNTIF($L$109:L124,"&lt;"&amp;$G$54)+1)</f>
        <v>12</v>
      </c>
      <c r="M125" s="6" t="str">
        <f ca="1">IFERROR(INDEX($D$110:OFFSET($D$110,$D$107-1,0),MATCH(ROW()-ROW($L$109),$L$110:OFFSET($L$110,$D$107-1,0),0)),"")</f>
        <v>Alkenz 4700 Q Series - can't be railroaded.</v>
      </c>
      <c r="N125" s="420">
        <f t="shared" ca="1" si="11"/>
        <v>3.8999999742600003E-2</v>
      </c>
      <c r="O125" s="419">
        <f t="shared" ca="1" si="12"/>
        <v>18.670002931973176</v>
      </c>
    </row>
    <row r="126" spans="1:15" outlineLevel="1" x14ac:dyDescent="0.25">
      <c r="A126" s="453">
        <v>1</v>
      </c>
      <c r="B126" s="821"/>
      <c r="C126" s="127" t="s">
        <v>640</v>
      </c>
      <c r="D126" s="127" t="str">
        <f t="shared" ca="1" si="7"/>
        <v>Alkenz 4000 Net Series 5%</v>
      </c>
      <c r="E126" s="128"/>
      <c r="F126" s="422">
        <v>0.68579999547371995</v>
      </c>
      <c r="G126" s="423">
        <v>520.11416572960002</v>
      </c>
      <c r="H126" s="420">
        <f t="shared" si="8"/>
        <v>2.69999998218E-2</v>
      </c>
      <c r="I126" s="419">
        <f t="shared" si="9"/>
        <v>15.340002409023487</v>
      </c>
      <c r="J126" s="126">
        <f t="shared" si="13"/>
        <v>0.52011416572960001</v>
      </c>
      <c r="L126" s="48">
        <f>IF(A126=0,$G$54,COUNTIF($L$109:L125,"&lt;"&amp;$G$54)+1)</f>
        <v>13</v>
      </c>
      <c r="M126" s="6" t="str">
        <f ca="1">IFERROR(INDEX($D$110:OFFSET($D$110,$D$107-1,0),MATCH(ROW()-ROW($L$109),$L$110:OFFSET($L$110,$D$107-1,0),0)),"")</f>
        <v>Almedahls: 101, 100% Cotton</v>
      </c>
      <c r="N126" s="420">
        <f t="shared" ca="1" si="11"/>
        <v>1.1999999920800001E-2</v>
      </c>
      <c r="O126" s="419">
        <f t="shared" ca="1" si="12"/>
        <v>5.460000857449038</v>
      </c>
    </row>
    <row r="127" spans="1:15" outlineLevel="1" x14ac:dyDescent="0.25">
      <c r="A127" s="453">
        <v>1</v>
      </c>
      <c r="B127" s="821"/>
      <c r="C127" s="127" t="s">
        <v>641</v>
      </c>
      <c r="D127" s="127" t="str">
        <f t="shared" ca="1" si="7"/>
        <v>Alkenz 4000 W Series - can't be railroaded.</v>
      </c>
      <c r="E127" s="128"/>
      <c r="F127" s="422">
        <v>0.68579999547371995</v>
      </c>
      <c r="G127" s="423">
        <v>529.94683248720003</v>
      </c>
      <c r="H127" s="420">
        <f t="shared" si="8"/>
        <v>2.69999998218E-2</v>
      </c>
      <c r="I127" s="419">
        <f t="shared" si="9"/>
        <v>15.630002454565654</v>
      </c>
      <c r="J127" s="126">
        <f t="shared" si="13"/>
        <v>0.52994683248719998</v>
      </c>
      <c r="L127" s="48">
        <f>IF(A127=0,$G$54,COUNTIF($L$109:L126,"&lt;"&amp;$G$54)+1)</f>
        <v>14</v>
      </c>
      <c r="M127" s="6" t="str">
        <f ca="1">IFERROR(INDEX($D$110:OFFSET($D$110,$D$107-1,0),MATCH(ROW()-ROW($L$109),$L$110:OFFSET($L$110,$D$107-1,0),0)),"")</f>
        <v>Almedahls: 101608, 100% Cotton</v>
      </c>
      <c r="N127" s="420">
        <f t="shared" ca="1" si="11"/>
        <v>2.3999999841600003E-2</v>
      </c>
      <c r="O127" s="419">
        <f t="shared" ca="1" si="12"/>
        <v>7.6700012045117436</v>
      </c>
    </row>
    <row r="128" spans="1:15" outlineLevel="1" x14ac:dyDescent="0.25">
      <c r="A128" s="453">
        <v>1</v>
      </c>
      <c r="B128" s="821"/>
      <c r="C128" s="127" t="s">
        <v>642</v>
      </c>
      <c r="D128" s="127" t="str">
        <f t="shared" ca="1" si="7"/>
        <v>Alkenz 4700 P Series - can't be railroaded.</v>
      </c>
      <c r="E128" s="128"/>
      <c r="F128" s="422">
        <v>0.88899999413260011</v>
      </c>
      <c r="G128" s="423">
        <v>629.96878743519994</v>
      </c>
      <c r="H128" s="420">
        <f t="shared" si="8"/>
        <v>3.4999999769000006E-2</v>
      </c>
      <c r="I128" s="419">
        <f t="shared" si="9"/>
        <v>18.580002917839398</v>
      </c>
      <c r="J128" s="126">
        <f t="shared" si="13"/>
        <v>0.62996878743519991</v>
      </c>
      <c r="L128" s="48">
        <f>IF(A128=0,$G$54,COUNTIF($L$109:L127,"&lt;"&amp;$G$54)+1)</f>
        <v>15</v>
      </c>
      <c r="M128" s="6" t="str">
        <f ca="1">IFERROR(INDEX($D$110:OFFSET($D$110,$D$107-1,0),MATCH(ROW()-ROW($L$109),$L$110:OFFSET($L$110,$D$107-1,0),0)),"")</f>
        <v>Almedahls: 101638, 100% Cotton</v>
      </c>
      <c r="N128" s="420">
        <f t="shared" ca="1" si="11"/>
        <v>2.3999999841600003E-2</v>
      </c>
      <c r="O128" s="419">
        <f t="shared" ca="1" si="12"/>
        <v>7.6700012045117436</v>
      </c>
    </row>
    <row r="129" spans="1:15" outlineLevel="1" x14ac:dyDescent="0.25">
      <c r="A129" s="453">
        <v>1</v>
      </c>
      <c r="B129" s="821"/>
      <c r="C129" s="127" t="s">
        <v>643</v>
      </c>
      <c r="D129" s="127" t="str">
        <f t="shared" ca="1" si="7"/>
        <v>Alkenz 4700 Q Series - can't be railroaded.</v>
      </c>
      <c r="E129" s="128"/>
      <c r="F129" s="422">
        <v>0.99059999346203997</v>
      </c>
      <c r="G129" s="423">
        <v>633.02030470480008</v>
      </c>
      <c r="H129" s="420">
        <f t="shared" si="8"/>
        <v>3.8999999742600003E-2</v>
      </c>
      <c r="I129" s="419">
        <f t="shared" si="9"/>
        <v>18.670002931973176</v>
      </c>
      <c r="J129" s="126">
        <f t="shared" si="13"/>
        <v>0.63302030470480009</v>
      </c>
      <c r="L129" s="48">
        <f>IF(A129=0,$G$54,COUNTIF($L$109:L128,"&lt;"&amp;$G$54)+1)</f>
        <v>16</v>
      </c>
      <c r="M129" s="6" t="str">
        <f ca="1">IFERROR(INDEX($D$110:OFFSET($D$110,$D$107-1,0),MATCH(ROW()-ROW($L$109),$L$110:OFFSET($L$110,$D$107-1,0),0)),"")</f>
        <v>Almedahls: 101735, 100% Cotton</v>
      </c>
      <c r="N129" s="420">
        <f t="shared" ca="1" si="11"/>
        <v>1.5748031496062992E-2</v>
      </c>
      <c r="O129" s="419">
        <f t="shared" ca="1" si="12"/>
        <v>9.1400014353634091</v>
      </c>
    </row>
    <row r="130" spans="1:15" outlineLevel="1" x14ac:dyDescent="0.25">
      <c r="A130" s="453">
        <v>1</v>
      </c>
      <c r="B130" s="821"/>
      <c r="C130" s="127" t="s">
        <v>644</v>
      </c>
      <c r="D130" s="127" t="str">
        <f t="shared" ca="1" si="7"/>
        <v>Almedahls: 101, 100% Cotton</v>
      </c>
      <c r="E130" s="128"/>
      <c r="F130" s="422">
        <v>0.30479999798832003</v>
      </c>
      <c r="G130" s="423">
        <v>185.12538102240001</v>
      </c>
      <c r="H130" s="420">
        <f t="shared" si="8"/>
        <v>1.1999999920800001E-2</v>
      </c>
      <c r="I130" s="419">
        <f t="shared" si="9"/>
        <v>5.460000857449038</v>
      </c>
      <c r="J130" s="126">
        <f t="shared" si="13"/>
        <v>0.1851253810224</v>
      </c>
      <c r="L130" s="48">
        <f>IF(A130=0,$G$54,COUNTIF($L$109:L129,"&lt;"&amp;$G$54)+1)</f>
        <v>17</v>
      </c>
      <c r="M130" s="6" t="str">
        <f ca="1">IFERROR(INDEX($D$110:OFFSET($D$110,$D$107-1,0),MATCH(ROW()-ROW($L$109),$L$110:OFFSET($L$110,$D$107-1,0),0)),"")</f>
        <v>Almedahls: 103, 100 % Polyester</v>
      </c>
      <c r="N130" s="420">
        <f t="shared" ca="1" si="11"/>
        <v>1.5748031496062992E-2</v>
      </c>
      <c r="O130" s="419">
        <f t="shared" ca="1" si="12"/>
        <v>5.3088352818672071</v>
      </c>
    </row>
    <row r="131" spans="1:15" outlineLevel="1" x14ac:dyDescent="0.25">
      <c r="A131" s="453">
        <v>1</v>
      </c>
      <c r="B131" s="821"/>
      <c r="C131" s="127" t="s">
        <v>645</v>
      </c>
      <c r="D131" s="127" t="str">
        <f t="shared" ca="1" si="7"/>
        <v>Almedahls: 101608, 100% Cotton</v>
      </c>
      <c r="E131" s="128"/>
      <c r="F131" s="422">
        <v>0.60959999597664005</v>
      </c>
      <c r="G131" s="423">
        <v>260.05708286480001</v>
      </c>
      <c r="H131" s="420">
        <f t="shared" si="8"/>
        <v>2.3999999841600003E-2</v>
      </c>
      <c r="I131" s="419">
        <f t="shared" si="9"/>
        <v>7.6700012045117436</v>
      </c>
      <c r="J131" s="126">
        <f t="shared" si="13"/>
        <v>0.2600570828648</v>
      </c>
      <c r="L131" s="48">
        <f>IF(A131=0,$G$54,COUNTIF($L$109:L130,"&lt;"&amp;$G$54)+1)</f>
        <v>18</v>
      </c>
      <c r="M131" s="6" t="str">
        <f ca="1">IFERROR(INDEX($D$110:OFFSET($D$110,$D$107-1,0),MATCH(ROW()-ROW($L$109),$L$110:OFFSET($L$110,$D$107-1,0),0)),"")</f>
        <v>Almedahls: 104, 100% Cotton</v>
      </c>
      <c r="N131" s="420">
        <f t="shared" ca="1" si="11"/>
        <v>1.5748031496062992E-2</v>
      </c>
      <c r="O131" s="419">
        <f t="shared" ca="1" si="12"/>
        <v>9.7300015280181587</v>
      </c>
    </row>
    <row r="132" spans="1:15" outlineLevel="1" x14ac:dyDescent="0.25">
      <c r="A132" s="453">
        <v>1</v>
      </c>
      <c r="B132" s="821"/>
      <c r="C132" s="127" t="s">
        <v>646</v>
      </c>
      <c r="D132" s="127" t="str">
        <f t="shared" ca="1" si="7"/>
        <v>Almedahls: 101638, 100% Cotton</v>
      </c>
      <c r="E132" s="128"/>
      <c r="F132" s="422">
        <v>0.60959999597664005</v>
      </c>
      <c r="G132" s="423">
        <v>260.05708286480001</v>
      </c>
      <c r="H132" s="420">
        <f t="shared" si="8"/>
        <v>2.3999999841600003E-2</v>
      </c>
      <c r="I132" s="419">
        <f t="shared" si="9"/>
        <v>7.6700012045117436</v>
      </c>
      <c r="J132" s="126">
        <f t="shared" si="13"/>
        <v>0.2600570828648</v>
      </c>
      <c r="L132" s="48">
        <f>IF(A132=0,$G$54,COUNTIF($L$109:L131,"&lt;"&amp;$G$54)+1)</f>
        <v>19</v>
      </c>
      <c r="M132" s="6" t="str">
        <f ca="1">IFERROR(INDEX($D$110:OFFSET($D$110,$D$107-1,0),MATCH(ROW()-ROW($L$109),$L$110:OFFSET($L$110,$D$107-1,0),0)),"")</f>
        <v>Almedahls: 107, 100 % Polyester</v>
      </c>
      <c r="N132" s="420">
        <f t="shared" ca="1" si="11"/>
        <v>1.7716535433070866E-2</v>
      </c>
      <c r="O132" s="419">
        <f t="shared" ca="1" si="12"/>
        <v>10.030001575130742</v>
      </c>
    </row>
    <row r="133" spans="1:15" outlineLevel="1" x14ac:dyDescent="0.25">
      <c r="A133" s="453">
        <v>1</v>
      </c>
      <c r="B133" s="821"/>
      <c r="C133" s="127" t="s">
        <v>647</v>
      </c>
      <c r="D133" s="127" t="str">
        <f t="shared" ca="1" si="7"/>
        <v>Almedahls: 101735, 100% Cotton</v>
      </c>
      <c r="E133" s="128"/>
      <c r="F133" s="422">
        <v>0.39999999999999997</v>
      </c>
      <c r="G133" s="423">
        <v>309.89853160160004</v>
      </c>
      <c r="H133" s="420">
        <f t="shared" si="8"/>
        <v>1.5748031496062992E-2</v>
      </c>
      <c r="I133" s="419">
        <f t="shared" si="9"/>
        <v>9.1400014353634091</v>
      </c>
      <c r="J133" s="126">
        <f t="shared" si="13"/>
        <v>0.30989853160160002</v>
      </c>
      <c r="L133" s="48">
        <f>IF(A133=0,$G$54,COUNTIF($L$109:L132,"&lt;"&amp;$G$54)+1)</f>
        <v>20</v>
      </c>
      <c r="M133" s="6" t="str">
        <f ca="1">IFERROR(INDEX($D$110:OFFSET($D$110,$D$107-1,0),MATCH(ROW()-ROW($L$109),$L$110:OFFSET($L$110,$D$107-1,0),0)),"")</f>
        <v>Almedahls: 107099, 100 % Polyester, dark, 6.78oz/230g</v>
      </c>
      <c r="N133" s="420">
        <f t="shared" ca="1" si="11"/>
        <v>1.3779527559055118E-2</v>
      </c>
      <c r="O133" s="419">
        <f t="shared" ca="1" si="12"/>
        <v>6.7800010647444102</v>
      </c>
    </row>
    <row r="134" spans="1:15" outlineLevel="1" x14ac:dyDescent="0.25">
      <c r="A134" s="453">
        <v>1</v>
      </c>
      <c r="B134" s="821"/>
      <c r="C134" s="127" t="s">
        <v>648</v>
      </c>
      <c r="D134" s="127" t="str">
        <f t="shared" ca="1" si="7"/>
        <v>Almedahls: 103, 100 % Polyester</v>
      </c>
      <c r="E134" s="128"/>
      <c r="F134" s="422">
        <v>0.39999999999999997</v>
      </c>
      <c r="G134" s="423">
        <v>180.00000000000003</v>
      </c>
      <c r="H134" s="420">
        <f t="shared" si="8"/>
        <v>1.5748031496062992E-2</v>
      </c>
      <c r="I134" s="419">
        <f t="shared" si="9"/>
        <v>5.3088352818672071</v>
      </c>
      <c r="J134" s="126">
        <f t="shared" si="13"/>
        <v>0.18000000000000002</v>
      </c>
      <c r="L134" s="48">
        <f>IF(A134=0,$G$54,COUNTIF($L$109:L133,"&lt;"&amp;$G$54)+1)</f>
        <v>21</v>
      </c>
      <c r="M134" s="6" t="str">
        <f ca="1">IFERROR(INDEX($D$110:OFFSET($D$110,$D$107-1,0),MATCH(ROW()-ROW($L$109),$L$110:OFFSET($L$110,$D$107-1,0),0)),"")</f>
        <v>Almedahls: 107099, 100 % Polyester, light, 8,26oz/280g</v>
      </c>
      <c r="N134" s="420">
        <f t="shared" ca="1" si="11"/>
        <v>1.3779527559055118E-2</v>
      </c>
      <c r="O134" s="419">
        <f t="shared" ca="1" si="12"/>
        <v>8.2600012971664931</v>
      </c>
    </row>
    <row r="135" spans="1:15" outlineLevel="1" x14ac:dyDescent="0.25">
      <c r="A135" s="453">
        <v>1</v>
      </c>
      <c r="B135" s="821"/>
      <c r="C135" s="127" t="s">
        <v>649</v>
      </c>
      <c r="D135" s="127" t="str">
        <f t="shared" ca="1" si="7"/>
        <v>Almedahls: 104, 100% Cotton</v>
      </c>
      <c r="E135" s="128"/>
      <c r="F135" s="422">
        <v>0.39999999999999997</v>
      </c>
      <c r="G135" s="423">
        <v>329.90292259120002</v>
      </c>
      <c r="H135" s="420">
        <f t="shared" si="8"/>
        <v>1.5748031496062992E-2</v>
      </c>
      <c r="I135" s="419">
        <f t="shared" si="9"/>
        <v>9.7300015280181587</v>
      </c>
      <c r="J135" s="126">
        <f t="shared" si="13"/>
        <v>0.32990292259120002</v>
      </c>
      <c r="L135" s="48">
        <f>IF(A135=0,$G$54,COUNTIF($L$109:L134,"&lt;"&amp;$G$54)+1)</f>
        <v>22</v>
      </c>
      <c r="M135" s="6" t="str">
        <f ca="1">IFERROR(INDEX($D$110:OFFSET($D$110,$D$107-1,0),MATCH(ROW()-ROW($L$109),$L$110:OFFSET($L$110,$D$107-1,0),0)),"")</f>
        <v>Almedahls: 108, 100% Cotton</v>
      </c>
      <c r="N135" s="420">
        <f t="shared" ca="1" si="11"/>
        <v>1.1811023622047244E-2</v>
      </c>
      <c r="O135" s="419">
        <f t="shared" ca="1" si="12"/>
        <v>5.0100007867801608</v>
      </c>
    </row>
    <row r="136" spans="1:15" outlineLevel="1" x14ac:dyDescent="0.25">
      <c r="A136" s="453">
        <v>1</v>
      </c>
      <c r="B136" s="821"/>
      <c r="C136" s="127" t="s">
        <v>650</v>
      </c>
      <c r="D136" s="127" t="str">
        <f t="shared" ca="1" si="7"/>
        <v>Almedahls: 107, 100 % Polyester</v>
      </c>
      <c r="E136" s="128"/>
      <c r="F136" s="422">
        <v>0.45</v>
      </c>
      <c r="G136" s="423">
        <v>340.0746468232</v>
      </c>
      <c r="H136" s="420">
        <f t="shared" si="8"/>
        <v>1.7716535433070866E-2</v>
      </c>
      <c r="I136" s="419">
        <f t="shared" si="9"/>
        <v>10.030001575130742</v>
      </c>
      <c r="J136" s="126">
        <f t="shared" si="13"/>
        <v>0.34007464682319999</v>
      </c>
      <c r="L136" s="48">
        <f>IF(A136=0,$G$54,COUNTIF($L$109:L135,"&lt;"&amp;$G$54)+1)</f>
        <v>23</v>
      </c>
      <c r="M136" s="6" t="str">
        <f ca="1">IFERROR(INDEX($D$110:OFFSET($D$110,$D$107-1,0),MATCH(ROW()-ROW($L$109),$L$110:OFFSET($L$110,$D$107-1,0),0)),"")</f>
        <v>Almedahls: 108308, 100% Cotton</v>
      </c>
      <c r="N136" s="420">
        <f t="shared" ca="1" si="11"/>
        <v>1.1811023622047244E-2</v>
      </c>
      <c r="O136" s="419">
        <f t="shared" ca="1" si="12"/>
        <v>5.3088352818672062</v>
      </c>
    </row>
    <row r="137" spans="1:15" outlineLevel="1" x14ac:dyDescent="0.25">
      <c r="A137" s="453">
        <v>1</v>
      </c>
      <c r="B137" s="821"/>
      <c r="C137" s="127" t="s">
        <v>651</v>
      </c>
      <c r="D137" s="127" t="str">
        <f t="shared" ca="1" si="7"/>
        <v>Almedahls: 107099, 100 % Polyester, dark, 6.78oz/230g</v>
      </c>
      <c r="E137" s="128"/>
      <c r="F137" s="422">
        <v>0.35</v>
      </c>
      <c r="G137" s="423">
        <v>229.88096764320002</v>
      </c>
      <c r="H137" s="420">
        <f t="shared" si="8"/>
        <v>1.3779527559055118E-2</v>
      </c>
      <c r="I137" s="419">
        <f t="shared" si="9"/>
        <v>6.7800010647444102</v>
      </c>
      <c r="J137" s="126">
        <f t="shared" si="13"/>
        <v>0.22988096764320001</v>
      </c>
      <c r="L137" s="48">
        <f>IF(A137=0,$G$54,COUNTIF($L$109:L136,"&lt;"&amp;$G$54)+1)</f>
        <v>24</v>
      </c>
      <c r="M137" s="6" t="str">
        <f ca="1">IFERROR(INDEX($D$110:OFFSET($D$110,$D$107-1,0),MATCH(ROW()-ROW($L$109),$L$110:OFFSET($L$110,$D$107-1,0),0)),"")</f>
        <v>Almedahls: 108338, 100% Cotton</v>
      </c>
      <c r="N137" s="420">
        <f t="shared" ca="1" si="11"/>
        <v>1.1811023622047244E-2</v>
      </c>
      <c r="O137" s="419">
        <f t="shared" ca="1" si="12"/>
        <v>5.3100008338927456</v>
      </c>
    </row>
    <row r="138" spans="1:15" outlineLevel="1" x14ac:dyDescent="0.25">
      <c r="A138" s="453">
        <v>1</v>
      </c>
      <c r="B138" s="821"/>
      <c r="C138" s="127" t="s">
        <v>652</v>
      </c>
      <c r="D138" s="127" t="str">
        <f t="shared" ca="1" si="7"/>
        <v>Almedahls: 107099, 100 % Polyester, light, 8,26oz/280g</v>
      </c>
      <c r="E138" s="128"/>
      <c r="F138" s="422">
        <v>0.35</v>
      </c>
      <c r="G138" s="423">
        <v>280.06147385439999</v>
      </c>
      <c r="H138" s="420">
        <f t="shared" si="8"/>
        <v>1.3779527559055118E-2</v>
      </c>
      <c r="I138" s="419">
        <f t="shared" si="9"/>
        <v>8.2600012971664931</v>
      </c>
      <c r="J138" s="126">
        <f t="shared" si="13"/>
        <v>0.2800614738544</v>
      </c>
      <c r="L138" s="48">
        <f>IF(A138=0,$G$54,COUNTIF($L$109:L137,"&lt;"&amp;$G$54)+1)</f>
        <v>25</v>
      </c>
      <c r="M138" s="6" t="str">
        <f ca="1">IFERROR(INDEX($D$110:OFFSET($D$110,$D$107-1,0),MATCH(ROW()-ROW($L$109),$L$110:OFFSET($L$110,$D$107-1,0),0)),"")</f>
        <v>Almedahls: 108357, 100% Cotton</v>
      </c>
      <c r="N138" s="420">
        <f t="shared" ca="1" si="11"/>
        <v>1.5748031496062992E-2</v>
      </c>
      <c r="O138" s="419">
        <f t="shared" ca="1" si="12"/>
        <v>9.4400014824759904</v>
      </c>
    </row>
    <row r="139" spans="1:15" outlineLevel="1" x14ac:dyDescent="0.25">
      <c r="A139" s="453">
        <v>1</v>
      </c>
      <c r="B139" s="821"/>
      <c r="C139" s="127" t="s">
        <v>653</v>
      </c>
      <c r="D139" s="127" t="str">
        <f t="shared" ca="1" si="7"/>
        <v>Almedahls: 108, 100% Cotton</v>
      </c>
      <c r="E139" s="128"/>
      <c r="F139" s="422">
        <v>0.3</v>
      </c>
      <c r="G139" s="423">
        <v>169.86779467439999</v>
      </c>
      <c r="H139" s="420">
        <f t="shared" si="8"/>
        <v>1.1811023622047244E-2</v>
      </c>
      <c r="I139" s="419">
        <f t="shared" si="9"/>
        <v>5.0100007867801608</v>
      </c>
      <c r="J139" s="126">
        <f t="shared" si="13"/>
        <v>0.1698677946744</v>
      </c>
      <c r="L139" s="48">
        <f>IF(A139=0,$G$54,COUNTIF($L$109:L138,"&lt;"&amp;$G$54)+1)</f>
        <v>26</v>
      </c>
      <c r="M139" s="6" t="str">
        <f ca="1">IFERROR(INDEX($D$110:OFFSET($D$110,$D$107-1,0),MATCH(ROW()-ROW($L$109),$L$110:OFFSET($L$110,$D$107-1,0),0)),"")</f>
        <v>Almedahls: 108359, 100% Cotton</v>
      </c>
      <c r="N139" s="420">
        <f t="shared" ca="1" si="11"/>
        <v>1.1811023622047244E-2</v>
      </c>
      <c r="O139" s="419">
        <f t="shared" ca="1" si="12"/>
        <v>5.0100007867801608</v>
      </c>
    </row>
    <row r="140" spans="1:15" outlineLevel="1" x14ac:dyDescent="0.25">
      <c r="A140" s="453">
        <v>1</v>
      </c>
      <c r="B140" s="821"/>
      <c r="C140" s="127" t="s">
        <v>654</v>
      </c>
      <c r="D140" s="127" t="str">
        <f t="shared" ca="1" si="7"/>
        <v>Almedahls: 108308, 100% Cotton</v>
      </c>
      <c r="E140" s="128"/>
      <c r="F140" s="422">
        <v>0.3</v>
      </c>
      <c r="G140" s="423">
        <v>180</v>
      </c>
      <c r="H140" s="420">
        <f t="shared" si="8"/>
        <v>1.1811023622047244E-2</v>
      </c>
      <c r="I140" s="419">
        <f t="shared" si="9"/>
        <v>5.3088352818672062</v>
      </c>
      <c r="J140" s="126">
        <f t="shared" si="13"/>
        <v>0.18</v>
      </c>
      <c r="L140" s="48">
        <f>IF(A140=0,$G$54,COUNTIF($L$109:L139,"&lt;"&amp;$G$54)+1)</f>
        <v>27</v>
      </c>
      <c r="M140" s="6" t="str">
        <f ca="1">IFERROR(INDEX($D$110:OFFSET($D$110,$D$107-1,0),MATCH(ROW()-ROW($L$109),$L$110:OFFSET($L$110,$D$107-1,0),0)),"")</f>
        <v>Almedahls: 108360, 100% Cotton</v>
      </c>
      <c r="N140" s="420">
        <f t="shared" ca="1" si="11"/>
        <v>1.3779527559055118E-2</v>
      </c>
      <c r="O140" s="419">
        <f t="shared" ca="1" si="12"/>
        <v>6.4900010192022446</v>
      </c>
    </row>
    <row r="141" spans="1:15" outlineLevel="1" x14ac:dyDescent="0.25">
      <c r="A141" s="453">
        <v>1</v>
      </c>
      <c r="B141" s="821"/>
      <c r="C141" s="127" t="s">
        <v>655</v>
      </c>
      <c r="D141" s="127" t="str">
        <f t="shared" ca="1" si="7"/>
        <v>Almedahls: 108338, 100% Cotton</v>
      </c>
      <c r="E141" s="128"/>
      <c r="F141" s="422">
        <v>0.3</v>
      </c>
      <c r="G141" s="423">
        <v>180.03951890639999</v>
      </c>
      <c r="H141" s="420">
        <f t="shared" si="8"/>
        <v>1.1811023622047244E-2</v>
      </c>
      <c r="I141" s="419">
        <f t="shared" si="9"/>
        <v>5.3100008338927456</v>
      </c>
      <c r="J141" s="126">
        <f t="shared" si="13"/>
        <v>0.18003951890639999</v>
      </c>
      <c r="L141" s="48">
        <f>IF(A141=0,$G$54,COUNTIF($L$109:L140,"&lt;"&amp;$G$54)+1)</f>
        <v>28</v>
      </c>
      <c r="M141" s="6" t="str">
        <f ca="1">IFERROR(INDEX($D$110:OFFSET($D$110,$D$107-1,0),MATCH(ROW()-ROW($L$109),$L$110:OFFSET($L$110,$D$107-1,0),0)),"")</f>
        <v>Almedahls: 114139, 100% Cotton</v>
      </c>
      <c r="N141" s="420">
        <f t="shared" ca="1" si="11"/>
        <v>1.3999999907600001E-2</v>
      </c>
      <c r="O141" s="419">
        <f t="shared" ca="1" si="12"/>
        <v>5.0100007867801608</v>
      </c>
    </row>
    <row r="142" spans="1:15" outlineLevel="1" x14ac:dyDescent="0.25">
      <c r="A142" s="453">
        <v>1</v>
      </c>
      <c r="B142" s="821"/>
      <c r="C142" s="127" t="s">
        <v>656</v>
      </c>
      <c r="D142" s="127" t="str">
        <f t="shared" ref="D142:D173" ca="1" si="14">IFERROR(INDEX(Language_Dictionary,MATCH(C142,Language_Base,0),MATCH(Language_Selected,Language_available,0)), C142)</f>
        <v>Almedahls: 108357, 100% Cotton</v>
      </c>
      <c r="E142" s="128"/>
      <c r="F142" s="422">
        <v>0.39999999999999997</v>
      </c>
      <c r="G142" s="423">
        <v>320.07025583359996</v>
      </c>
      <c r="H142" s="420">
        <f t="shared" ref="H142:H173" si="15">F142/conv_mm</f>
        <v>1.5748031496062992E-2</v>
      </c>
      <c r="I142" s="419">
        <f t="shared" ref="I142:I173" si="16">G142/conv_gsm</f>
        <v>9.4400014824759904</v>
      </c>
      <c r="J142" s="126">
        <f t="shared" si="13"/>
        <v>0.32007025583359994</v>
      </c>
      <c r="L142" s="48">
        <f>IF(A142=0,$G$54,COUNTIF($L$109:L141,"&lt;"&amp;$G$54)+1)</f>
        <v>29</v>
      </c>
      <c r="M142" s="6" t="str">
        <f ca="1">IFERROR(INDEX($D$110:OFFSET($D$110,$D$107-1,0),MATCH(ROW()-ROW($L$109),$L$110:OFFSET($L$110,$D$107-1,0),0)),"")</f>
        <v>Almedahls: 114235, 100% Cotton</v>
      </c>
      <c r="N142" s="420">
        <f t="shared" ref="N142:N173" ca="1" si="17">VLOOKUP(M142,fabric_lookup,5,FALSE)</f>
        <v>1.5748031496062992E-2</v>
      </c>
      <c r="O142" s="419">
        <f t="shared" ref="O142:O173" ca="1" si="18">VLOOKUP(M142,fabric_lookup,6,FALSE)</f>
        <v>9.4379293899861452</v>
      </c>
    </row>
    <row r="143" spans="1:15" outlineLevel="1" x14ac:dyDescent="0.25">
      <c r="A143" s="453">
        <v>1</v>
      </c>
      <c r="B143" s="821"/>
      <c r="C143" s="127" t="s">
        <v>657</v>
      </c>
      <c r="D143" s="127" t="str">
        <f t="shared" ca="1" si="14"/>
        <v>Almedahls: 108359, 100% Cotton</v>
      </c>
      <c r="E143" s="128"/>
      <c r="F143" s="422">
        <v>0.3</v>
      </c>
      <c r="G143" s="423">
        <v>169.86779467439999</v>
      </c>
      <c r="H143" s="420">
        <f t="shared" si="15"/>
        <v>1.1811023622047244E-2</v>
      </c>
      <c r="I143" s="419">
        <f t="shared" si="16"/>
        <v>5.0100007867801608</v>
      </c>
      <c r="J143" s="126">
        <f t="shared" si="13"/>
        <v>0.1698677946744</v>
      </c>
      <c r="L143" s="48">
        <f>IF(A143=0,$G$54,COUNTIF($L$109:L142,"&lt;"&amp;$G$54)+1)</f>
        <v>30</v>
      </c>
      <c r="M143" s="6" t="str">
        <f ca="1">IFERROR(INDEX($D$110:OFFSET($D$110,$D$107-1,0),MATCH(ROW()-ROW($L$109),$L$110:OFFSET($L$110,$D$107-1,0),0)),"")</f>
        <v>Almedahls: 116935, 100% Cotton</v>
      </c>
      <c r="N143" s="420">
        <f t="shared" ca="1" si="17"/>
        <v>2.5590551181102365E-2</v>
      </c>
      <c r="O143" s="419">
        <f t="shared" ca="1" si="18"/>
        <v>12.680001991291904</v>
      </c>
    </row>
    <row r="144" spans="1:15" outlineLevel="1" x14ac:dyDescent="0.25">
      <c r="A144" s="453">
        <v>1</v>
      </c>
      <c r="B144" s="821"/>
      <c r="C144" s="127" t="s">
        <v>658</v>
      </c>
      <c r="D144" s="127" t="str">
        <f t="shared" ca="1" si="14"/>
        <v>Almedahls: 108360, 100% Cotton</v>
      </c>
      <c r="E144" s="128"/>
      <c r="F144" s="422">
        <v>0.35</v>
      </c>
      <c r="G144" s="423">
        <v>220.04830088560001</v>
      </c>
      <c r="H144" s="420">
        <f t="shared" si="15"/>
        <v>1.3779527559055118E-2</v>
      </c>
      <c r="I144" s="419">
        <f t="shared" si="16"/>
        <v>6.4900010192022446</v>
      </c>
      <c r="J144" s="126">
        <f t="shared" si="13"/>
        <v>0.22004830088560001</v>
      </c>
      <c r="L144" s="48">
        <f>IF(A144=0,$G$54,COUNTIF($L$109:L143,"&lt;"&amp;$G$54)+1)</f>
        <v>31</v>
      </c>
      <c r="M144" s="6" t="str">
        <f ca="1">IFERROR(INDEX($D$110:OFFSET($D$110,$D$107-1,0),MATCH(ROW()-ROW($L$109),$L$110:OFFSET($L$110,$D$107-1,0),0)),"")</f>
        <v>Almedahls: 116939, 100% Cotton</v>
      </c>
      <c r="N144" s="420">
        <f t="shared" ca="1" si="17"/>
        <v>2.3622047244094488E-2</v>
      </c>
      <c r="O144" s="419">
        <f t="shared" ca="1" si="18"/>
        <v>9.1400014353634091</v>
      </c>
    </row>
    <row r="145" spans="1:15" outlineLevel="1" x14ac:dyDescent="0.25">
      <c r="A145" s="453">
        <v>1</v>
      </c>
      <c r="B145" s="821"/>
      <c r="C145" s="127" t="s">
        <v>659</v>
      </c>
      <c r="D145" s="127" t="str">
        <f t="shared" ca="1" si="14"/>
        <v>Almedahls: 114139, 100% Cotton</v>
      </c>
      <c r="E145" s="128"/>
      <c r="F145" s="422">
        <v>0.35559999765304001</v>
      </c>
      <c r="G145" s="423">
        <v>169.86779467439999</v>
      </c>
      <c r="H145" s="420">
        <f t="shared" si="15"/>
        <v>1.3999999907600001E-2</v>
      </c>
      <c r="I145" s="419">
        <f t="shared" si="16"/>
        <v>5.0100007867801608</v>
      </c>
      <c r="J145" s="126">
        <f t="shared" si="13"/>
        <v>0.1698677946744</v>
      </c>
      <c r="L145" s="48">
        <f>IF(A145=0,$G$54,COUNTIF($L$109:L144,"&lt;"&amp;$G$54)+1)</f>
        <v>32</v>
      </c>
      <c r="M145" s="6" t="str">
        <f ca="1">IFERROR(INDEX($D$110:OFFSET($D$110,$D$107-1,0),MATCH(ROW()-ROW($L$109),$L$110:OFFSET($L$110,$D$107-1,0),0)),"")</f>
        <v>Almedahls: 148339, 100% Cotton</v>
      </c>
      <c r="N145" s="420">
        <f t="shared" ca="1" si="17"/>
        <v>1.3779527559055118E-2</v>
      </c>
      <c r="O145" s="419">
        <f t="shared" ca="1" si="18"/>
        <v>5.3100008338927456</v>
      </c>
    </row>
    <row r="146" spans="1:15" outlineLevel="1" x14ac:dyDescent="0.25">
      <c r="A146" s="453">
        <v>1</v>
      </c>
      <c r="B146" s="821"/>
      <c r="C146" s="127" t="s">
        <v>660</v>
      </c>
      <c r="D146" s="127" t="str">
        <f t="shared" ca="1" si="14"/>
        <v>Almedahls: 114235, 100% Cotton</v>
      </c>
      <c r="E146" s="128"/>
      <c r="F146" s="422">
        <v>0.39999999999999997</v>
      </c>
      <c r="G146" s="423">
        <v>320.00000000000006</v>
      </c>
      <c r="H146" s="420">
        <f t="shared" si="15"/>
        <v>1.5748031496062992E-2</v>
      </c>
      <c r="I146" s="419">
        <f t="shared" si="16"/>
        <v>9.4379293899861452</v>
      </c>
      <c r="J146" s="126">
        <f t="shared" si="13"/>
        <v>0.32000000000000006</v>
      </c>
      <c r="L146" s="48">
        <f>IF(A146=0,$G$54,COUNTIF($L$109:L145,"&lt;"&amp;$G$54)+1)</f>
        <v>33</v>
      </c>
      <c r="M146" s="6" t="str">
        <f ca="1">IFERROR(INDEX($D$110:OFFSET($D$110,$D$107-1,0),MATCH(ROW()-ROW($L$109),$L$110:OFFSET($L$110,$D$107-1,0),0)),"")</f>
        <v>Almedahls: 184009, 90% Cotton 10% Flax</v>
      </c>
      <c r="N146" s="420">
        <f t="shared" ca="1" si="17"/>
        <v>3.0999999795400003E-2</v>
      </c>
      <c r="O146" s="419">
        <f t="shared" ca="1" si="18"/>
        <v>8.5500013427086579</v>
      </c>
    </row>
    <row r="147" spans="1:15" outlineLevel="1" x14ac:dyDescent="0.25">
      <c r="A147" s="453">
        <v>1</v>
      </c>
      <c r="B147" s="821"/>
      <c r="C147" s="127" t="s">
        <v>661</v>
      </c>
      <c r="D147" s="127" t="str">
        <f t="shared" ca="1" si="14"/>
        <v>Almedahls: 116935, 100% Cotton</v>
      </c>
      <c r="E147" s="128"/>
      <c r="F147" s="422">
        <v>0.65</v>
      </c>
      <c r="G147" s="423">
        <v>429.9248775392</v>
      </c>
      <c r="H147" s="420">
        <f t="shared" si="15"/>
        <v>2.5590551181102365E-2</v>
      </c>
      <c r="I147" s="419">
        <f t="shared" si="16"/>
        <v>12.680001991291904</v>
      </c>
      <c r="J147" s="126">
        <f t="shared" si="13"/>
        <v>0.4299248775392</v>
      </c>
      <c r="L147" s="48">
        <f>IF(A147=0,$G$54,COUNTIF($L$109:L146,"&lt;"&amp;$G$54)+1)</f>
        <v>34</v>
      </c>
      <c r="M147" s="6" t="str">
        <f ca="1">IFERROR(INDEX($D$110:OFFSET($D$110,$D$107-1,0),MATCH(ROW()-ROW($L$109),$L$110:OFFSET($L$110,$D$107-1,0),0)),"")</f>
        <v>Almedahls: 184039, 90% Cotton 10% Flax</v>
      </c>
      <c r="N147" s="420">
        <f t="shared" ca="1" si="17"/>
        <v>3.0999999795400003E-2</v>
      </c>
      <c r="O147" s="419">
        <f t="shared" ca="1" si="18"/>
        <v>8.5500013427086579</v>
      </c>
    </row>
    <row r="148" spans="1:15" outlineLevel="1" x14ac:dyDescent="0.25">
      <c r="A148" s="453">
        <v>1</v>
      </c>
      <c r="B148" s="821"/>
      <c r="C148" s="127" t="s">
        <v>662</v>
      </c>
      <c r="D148" s="127" t="str">
        <f t="shared" ca="1" si="14"/>
        <v>Almedahls: 116939, 100% Cotton</v>
      </c>
      <c r="E148" s="128"/>
      <c r="F148" s="422">
        <v>0.6</v>
      </c>
      <c r="G148" s="423">
        <v>309.89853160160004</v>
      </c>
      <c r="H148" s="420">
        <f t="shared" si="15"/>
        <v>2.3622047244094488E-2</v>
      </c>
      <c r="I148" s="419">
        <f t="shared" si="16"/>
        <v>9.1400014353634091</v>
      </c>
      <c r="J148" s="126">
        <f t="shared" si="13"/>
        <v>0.30989853160160002</v>
      </c>
      <c r="L148" s="48">
        <f>IF(A148=0,$G$54,COUNTIF($L$109:L147,"&lt;"&amp;$G$54)+1)</f>
        <v>35</v>
      </c>
      <c r="M148" s="6" t="str">
        <f ca="1">IFERROR(INDEX($D$110:OFFSET($D$110,$D$107-1,0),MATCH(ROW()-ROW($L$109),$L$110:OFFSET($L$110,$D$107-1,0),0)),"")</f>
        <v>Almedahls: 184059, 90% Cotton 10% Flax</v>
      </c>
      <c r="N148" s="420">
        <f t="shared" ca="1" si="17"/>
        <v>3.0999999795400003E-2</v>
      </c>
      <c r="O148" s="419">
        <f t="shared" ca="1" si="18"/>
        <v>8.5500013427086579</v>
      </c>
    </row>
    <row r="149" spans="1:15" outlineLevel="1" x14ac:dyDescent="0.25">
      <c r="A149" s="453">
        <v>1</v>
      </c>
      <c r="B149" s="821"/>
      <c r="C149" s="127" t="s">
        <v>663</v>
      </c>
      <c r="D149" s="127" t="str">
        <f t="shared" ca="1" si="14"/>
        <v>Almedahls: 148339, 100% Cotton</v>
      </c>
      <c r="E149" s="128"/>
      <c r="F149" s="422">
        <v>0.35</v>
      </c>
      <c r="G149" s="423">
        <v>180.03951890639999</v>
      </c>
      <c r="H149" s="420">
        <f t="shared" si="15"/>
        <v>1.3779527559055118E-2</v>
      </c>
      <c r="I149" s="419">
        <f t="shared" si="16"/>
        <v>5.3100008338927456</v>
      </c>
      <c r="J149" s="126">
        <f t="shared" si="13"/>
        <v>0.18003951890639999</v>
      </c>
      <c r="L149" s="48">
        <f>IF(A149=0,$G$54,COUNTIF($L$109:L148,"&lt;"&amp;$G$54)+1)</f>
        <v>36</v>
      </c>
      <c r="M149" s="6" t="str">
        <f ca="1">IFERROR(INDEX($D$110:OFFSET($D$110,$D$107-1,0),MATCH(ROW()-ROW($L$109),$L$110:OFFSET($L$110,$D$107-1,0),0)),"")</f>
        <v>Almedahls: 184109, 90% Cotton 10% Flax</v>
      </c>
      <c r="N149" s="420">
        <f t="shared" ca="1" si="17"/>
        <v>2.7999999815200002E-2</v>
      </c>
      <c r="O149" s="419">
        <f t="shared" ca="1" si="18"/>
        <v>8.5500013427086579</v>
      </c>
    </row>
    <row r="150" spans="1:15" outlineLevel="1" x14ac:dyDescent="0.25">
      <c r="A150" s="453">
        <v>1</v>
      </c>
      <c r="B150" s="821"/>
      <c r="C150" s="127" t="s">
        <v>664</v>
      </c>
      <c r="D150" s="127" t="str">
        <f t="shared" ca="1" si="14"/>
        <v>Almedahls: 184009, 90% Cotton 10% Flax</v>
      </c>
      <c r="E150" s="128"/>
      <c r="F150" s="422">
        <v>0.78739999480316003</v>
      </c>
      <c r="G150" s="423">
        <v>289.894140612</v>
      </c>
      <c r="H150" s="420">
        <f t="shared" si="15"/>
        <v>3.0999999795400003E-2</v>
      </c>
      <c r="I150" s="419">
        <f t="shared" si="16"/>
        <v>8.5500013427086579</v>
      </c>
      <c r="J150" s="126">
        <f t="shared" si="13"/>
        <v>0.28989414061200003</v>
      </c>
      <c r="L150" s="48">
        <f>IF(A150=0,$G$54,COUNTIF($L$109:L149,"&lt;"&amp;$G$54)+1)</f>
        <v>37</v>
      </c>
      <c r="M150" s="6" t="str">
        <f ca="1">IFERROR(INDEX($D$110:OFFSET($D$110,$D$107-1,0),MATCH(ROW()-ROW($L$109),$L$110:OFFSET($L$110,$D$107-1,0),0)),"")</f>
        <v>Almedahls: 184139, 90% Cotton 10% Flax</v>
      </c>
      <c r="N150" s="420">
        <f t="shared" ca="1" si="17"/>
        <v>2.7999999815200002E-2</v>
      </c>
      <c r="O150" s="419">
        <f t="shared" ca="1" si="18"/>
        <v>8.5500013427086579</v>
      </c>
    </row>
    <row r="151" spans="1:15" outlineLevel="1" x14ac:dyDescent="0.25">
      <c r="A151" s="453">
        <v>1</v>
      </c>
      <c r="B151" s="821"/>
      <c r="C151" s="127" t="s">
        <v>665</v>
      </c>
      <c r="D151" s="127" t="str">
        <f t="shared" ca="1" si="14"/>
        <v>Almedahls: 184039, 90% Cotton 10% Flax</v>
      </c>
      <c r="E151" s="128"/>
      <c r="F151" s="422">
        <v>0.78739999480316003</v>
      </c>
      <c r="G151" s="423">
        <v>289.894140612</v>
      </c>
      <c r="H151" s="420">
        <f t="shared" si="15"/>
        <v>3.0999999795400003E-2</v>
      </c>
      <c r="I151" s="419">
        <f t="shared" si="16"/>
        <v>8.5500013427086579</v>
      </c>
      <c r="J151" s="126">
        <f t="shared" si="13"/>
        <v>0.28989414061200003</v>
      </c>
      <c r="L151" s="48">
        <f>IF(A151=0,$G$54,COUNTIF($L$109:L150,"&lt;"&amp;$G$54)+1)</f>
        <v>38</v>
      </c>
      <c r="M151" s="6" t="str">
        <f ca="1">IFERROR(INDEX($D$110:OFFSET($D$110,$D$107-1,0),MATCH(ROW()-ROW($L$109),$L$110:OFFSET($L$110,$D$107-1,0),0)),"")</f>
        <v>Almedahls: 184209, 80% Cotton 20% Flax</v>
      </c>
      <c r="N151" s="420">
        <f t="shared" ca="1" si="17"/>
        <v>1.9999999867999999E-2</v>
      </c>
      <c r="O151" s="419">
        <f t="shared" ca="1" si="18"/>
        <v>7.9600012500539092</v>
      </c>
    </row>
    <row r="152" spans="1:15" outlineLevel="1" x14ac:dyDescent="0.25">
      <c r="A152" s="453">
        <v>1</v>
      </c>
      <c r="B152" s="821"/>
      <c r="C152" s="127" t="s">
        <v>666</v>
      </c>
      <c r="D152" s="127" t="str">
        <f t="shared" ca="1" si="14"/>
        <v>Almedahls: 184059, 90% Cotton 10% Flax</v>
      </c>
      <c r="E152" s="128"/>
      <c r="F152" s="422">
        <v>0.78739999480316003</v>
      </c>
      <c r="G152" s="423">
        <v>289.894140612</v>
      </c>
      <c r="H152" s="420">
        <f t="shared" si="15"/>
        <v>3.0999999795400003E-2</v>
      </c>
      <c r="I152" s="419">
        <f t="shared" si="16"/>
        <v>8.5500013427086579</v>
      </c>
      <c r="J152" s="126">
        <f t="shared" si="13"/>
        <v>0.28989414061200003</v>
      </c>
      <c r="L152" s="48">
        <f>IF(A152=0,$G$54,COUNTIF($L$109:L151,"&lt;"&amp;$G$54)+1)</f>
        <v>39</v>
      </c>
      <c r="M152" s="6" t="str">
        <f ca="1">IFERROR(INDEX($D$110:OFFSET($D$110,$D$107-1,0),MATCH(ROW()-ROW($L$109),$L$110:OFFSET($L$110,$D$107-1,0),0)),"")</f>
        <v>Almedahls: 184239, 80% Cotton 20% Flax</v>
      </c>
      <c r="N152" s="420">
        <f t="shared" ca="1" si="17"/>
        <v>1.9999999867999999E-2</v>
      </c>
      <c r="O152" s="419">
        <f t="shared" ca="1" si="18"/>
        <v>7.9600012500539092</v>
      </c>
    </row>
    <row r="153" spans="1:15" outlineLevel="1" x14ac:dyDescent="0.25">
      <c r="A153" s="453">
        <v>1</v>
      </c>
      <c r="B153" s="821"/>
      <c r="C153" s="127" t="s">
        <v>667</v>
      </c>
      <c r="D153" s="127" t="str">
        <f t="shared" ca="1" si="14"/>
        <v>Almedahls: 184109, 90% Cotton 10% Flax</v>
      </c>
      <c r="E153" s="128"/>
      <c r="F153" s="422">
        <v>0.71119999530608002</v>
      </c>
      <c r="G153" s="423">
        <v>289.894140612</v>
      </c>
      <c r="H153" s="420">
        <f t="shared" si="15"/>
        <v>2.7999999815200002E-2</v>
      </c>
      <c r="I153" s="419">
        <f t="shared" si="16"/>
        <v>8.5500013427086579</v>
      </c>
      <c r="J153" s="126">
        <f t="shared" si="13"/>
        <v>0.28989414061200003</v>
      </c>
      <c r="L153" s="48">
        <f>IF(A153=0,$G$54,COUNTIF($L$109:L152,"&lt;"&amp;$G$54)+1)</f>
        <v>40</v>
      </c>
      <c r="M153" s="6" t="str">
        <f ca="1">IFERROR(INDEX($D$110:OFFSET($D$110,$D$107-1,0),MATCH(ROW()-ROW($L$109),$L$110:OFFSET($L$110,$D$107-1,0),0)),"")</f>
        <v>Almedahls: 911832, 100 % Polyester</v>
      </c>
      <c r="N153" s="420">
        <f t="shared" ca="1" si="17"/>
        <v>1.1999999920800001E-2</v>
      </c>
      <c r="O153" s="419">
        <f t="shared" ca="1" si="18"/>
        <v>6.7800010647444102</v>
      </c>
    </row>
    <row r="154" spans="1:15" outlineLevel="1" x14ac:dyDescent="0.25">
      <c r="A154" s="453">
        <v>1</v>
      </c>
      <c r="B154" s="821"/>
      <c r="C154" s="127" t="s">
        <v>668</v>
      </c>
      <c r="D154" s="127" t="str">
        <f t="shared" ca="1" si="14"/>
        <v>Almedahls: 184139, 90% Cotton 10% Flax</v>
      </c>
      <c r="E154" s="128"/>
      <c r="F154" s="422">
        <v>0.71119999530608002</v>
      </c>
      <c r="G154" s="423">
        <v>289.894140612</v>
      </c>
      <c r="H154" s="420">
        <f t="shared" si="15"/>
        <v>2.7999999815200002E-2</v>
      </c>
      <c r="I154" s="419">
        <f t="shared" si="16"/>
        <v>8.5500013427086579</v>
      </c>
      <c r="J154" s="126">
        <f t="shared" si="13"/>
        <v>0.28989414061200003</v>
      </c>
      <c r="L154" s="48">
        <f>IF(A154=0,$G$54,COUNTIF($L$109:L153,"&lt;"&amp;$G$54)+1)</f>
        <v>41</v>
      </c>
      <c r="M154" s="6" t="str">
        <f ca="1">IFERROR(INDEX($D$110:OFFSET($D$110,$D$107-1,0),MATCH(ROW()-ROW($L$109),$L$110:OFFSET($L$110,$D$107-1,0),0)),"")</f>
        <v>Almedahls: 912630, 100 % Polyester</v>
      </c>
      <c r="N154" s="420">
        <f t="shared" ca="1" si="17"/>
        <v>1.3779527559055118E-2</v>
      </c>
      <c r="O154" s="419">
        <f t="shared" ca="1" si="18"/>
        <v>8.2600012971664931</v>
      </c>
    </row>
    <row r="155" spans="1:15" outlineLevel="1" x14ac:dyDescent="0.25">
      <c r="A155" s="453">
        <v>1</v>
      </c>
      <c r="B155" s="821"/>
      <c r="C155" s="127" t="s">
        <v>669</v>
      </c>
      <c r="D155" s="127" t="str">
        <f t="shared" ca="1" si="14"/>
        <v>Almedahls: 184209, 80% Cotton 20% Flax</v>
      </c>
      <c r="E155" s="128"/>
      <c r="F155" s="422">
        <v>0.50799999664719997</v>
      </c>
      <c r="G155" s="423">
        <v>269.88974962240002</v>
      </c>
      <c r="H155" s="420">
        <f t="shared" si="15"/>
        <v>1.9999999867999999E-2</v>
      </c>
      <c r="I155" s="419">
        <f t="shared" si="16"/>
        <v>7.9600012500539092</v>
      </c>
      <c r="J155" s="126">
        <f t="shared" si="13"/>
        <v>0.26988974962240003</v>
      </c>
      <c r="L155" s="48">
        <f>IF(A155=0,$G$54,COUNTIF($L$109:L154,"&lt;"&amp;$G$54)+1)</f>
        <v>42</v>
      </c>
      <c r="M155" s="6" t="str">
        <f ca="1">IFERROR(INDEX($D$110:OFFSET($D$110,$D$107-1,0),MATCH(ROW()-ROW($L$109),$L$110:OFFSET($L$110,$D$107-1,0),0)),"")</f>
        <v>Almedahls: 914232, 100 % Polyester</v>
      </c>
      <c r="N155" s="420">
        <f t="shared" ca="1" si="17"/>
        <v>1.5999999894399999E-2</v>
      </c>
      <c r="O155" s="419">
        <f t="shared" ca="1" si="18"/>
        <v>9.2900014589196989</v>
      </c>
    </row>
    <row r="156" spans="1:15" outlineLevel="1" x14ac:dyDescent="0.25">
      <c r="A156" s="453">
        <v>1</v>
      </c>
      <c r="B156" s="821"/>
      <c r="C156" s="127" t="s">
        <v>670</v>
      </c>
      <c r="D156" s="127" t="str">
        <f t="shared" ca="1" si="14"/>
        <v>Almedahls: 184239, 80% Cotton 20% Flax</v>
      </c>
      <c r="E156" s="128"/>
      <c r="F156" s="422">
        <v>0.50799999664719997</v>
      </c>
      <c r="G156" s="423">
        <v>269.88974962240002</v>
      </c>
      <c r="H156" s="420">
        <f t="shared" si="15"/>
        <v>1.9999999867999999E-2</v>
      </c>
      <c r="I156" s="419">
        <f t="shared" si="16"/>
        <v>7.9600012500539092</v>
      </c>
      <c r="J156" s="126">
        <f t="shared" si="13"/>
        <v>0.26988974962240003</v>
      </c>
      <c r="L156" s="48">
        <f>IF(A156=0,$G$54,COUNTIF($L$109:L155,"&lt;"&amp;$G$54)+1)</f>
        <v>43</v>
      </c>
      <c r="M156" s="6" t="str">
        <f ca="1">IFERROR(INDEX($D$110:OFFSET($D$110,$D$107-1,0),MATCH(ROW()-ROW($L$109),$L$110:OFFSET($L$110,$D$107-1,0),0)),"")</f>
        <v>Almedahls: 914438, 100 % Polyester</v>
      </c>
      <c r="N156" s="420">
        <f t="shared" ca="1" si="17"/>
        <v>1.968503937007874E-2</v>
      </c>
      <c r="O156" s="419">
        <f t="shared" ca="1" si="18"/>
        <v>5.0100007867801608</v>
      </c>
    </row>
    <row r="157" spans="1:15" outlineLevel="1" x14ac:dyDescent="0.25">
      <c r="A157" s="453">
        <v>1</v>
      </c>
      <c r="B157" s="821"/>
      <c r="C157" s="127" t="s">
        <v>671</v>
      </c>
      <c r="D157" s="127" t="str">
        <f t="shared" ca="1" si="14"/>
        <v>Almedahls: 911832, 100 % Polyester</v>
      </c>
      <c r="E157" s="128"/>
      <c r="F157" s="422">
        <v>0.30479999798832003</v>
      </c>
      <c r="G157" s="423">
        <v>229.88096764320002</v>
      </c>
      <c r="H157" s="420">
        <f t="shared" si="15"/>
        <v>1.1999999920800001E-2</v>
      </c>
      <c r="I157" s="419">
        <f t="shared" si="16"/>
        <v>6.7800010647444102</v>
      </c>
      <c r="J157" s="126">
        <f t="shared" si="13"/>
        <v>0.22988096764320001</v>
      </c>
      <c r="L157" s="48">
        <f>IF(A157=0,$G$54,COUNTIF($L$109:L156,"&lt;"&amp;$G$54)+1)</f>
        <v>44</v>
      </c>
      <c r="M157" s="6" t="str">
        <f ca="1">IFERROR(INDEX($D$110:OFFSET($D$110,$D$107-1,0),MATCH(ROW()-ROW($L$109),$L$110:OFFSET($L$110,$D$107-1,0),0)),"")</f>
        <v>Almedahls: 914538, 100 % Polyester</v>
      </c>
      <c r="N157" s="420">
        <f t="shared" ca="1" si="17"/>
        <v>1.3999999907600001E-2</v>
      </c>
      <c r="O157" s="419">
        <f t="shared" ca="1" si="18"/>
        <v>3.3900005323722051</v>
      </c>
    </row>
    <row r="158" spans="1:15" outlineLevel="1" x14ac:dyDescent="0.25">
      <c r="A158" s="453">
        <v>1</v>
      </c>
      <c r="B158" s="821"/>
      <c r="C158" s="127" t="s">
        <v>672</v>
      </c>
      <c r="D158" s="127" t="str">
        <f t="shared" ca="1" si="14"/>
        <v>Almedahls: 912630, 100 % Polyester</v>
      </c>
      <c r="E158" s="128"/>
      <c r="F158" s="422">
        <v>0.35</v>
      </c>
      <c r="G158" s="423">
        <v>280.06147385439999</v>
      </c>
      <c r="H158" s="420">
        <f t="shared" si="15"/>
        <v>1.3779527559055118E-2</v>
      </c>
      <c r="I158" s="419">
        <f t="shared" si="16"/>
        <v>8.2600012971664931</v>
      </c>
      <c r="J158" s="126">
        <f t="shared" si="13"/>
        <v>0.2800614738544</v>
      </c>
      <c r="L158" s="48">
        <f>IF(A158=0,$G$54,COUNTIF($L$109:L157,"&lt;"&amp;$G$54)+1)</f>
        <v>45</v>
      </c>
      <c r="M158" s="6" t="str">
        <f ca="1">IFERROR(INDEX($D$110:OFFSET($D$110,$D$107-1,0),MATCH(ROW()-ROW($L$109),$L$110:OFFSET($L$110,$D$107-1,0),0)),"")</f>
        <v>Almedahls: 917132, 100 % Polyester</v>
      </c>
      <c r="N158" s="420">
        <f t="shared" ca="1" si="17"/>
        <v>1.1999999920800001E-2</v>
      </c>
      <c r="O158" s="419">
        <f t="shared" ca="1" si="18"/>
        <v>4.4200006941254113</v>
      </c>
    </row>
    <row r="159" spans="1:15" outlineLevel="1" x14ac:dyDescent="0.25">
      <c r="A159" s="453">
        <v>1</v>
      </c>
      <c r="B159" s="821"/>
      <c r="C159" s="127" t="s">
        <v>673</v>
      </c>
      <c r="D159" s="127" t="str">
        <f t="shared" ca="1" si="14"/>
        <v>Almedahls: 914232, 100 % Polyester</v>
      </c>
      <c r="E159" s="128"/>
      <c r="F159" s="422">
        <v>0.40639999731776</v>
      </c>
      <c r="G159" s="423">
        <v>314.98439371759997</v>
      </c>
      <c r="H159" s="420">
        <f t="shared" si="15"/>
        <v>1.5999999894399999E-2</v>
      </c>
      <c r="I159" s="419">
        <f t="shared" si="16"/>
        <v>9.2900014589196989</v>
      </c>
      <c r="J159" s="126">
        <f t="shared" si="13"/>
        <v>0.31498439371759995</v>
      </c>
      <c r="L159" s="48">
        <f>IF(A159=0,$G$54,COUNTIF($L$109:L158,"&lt;"&amp;$G$54)+1)</f>
        <v>46</v>
      </c>
      <c r="M159" s="6" t="str">
        <f ca="1">IFERROR(INDEX($D$110:OFFSET($D$110,$D$107-1,0),MATCH(ROW()-ROW($L$109),$L$110:OFFSET($L$110,$D$107-1,0),0)),"")</f>
        <v>Almedahls: 917147, 100 % Polyester</v>
      </c>
      <c r="N159" s="420">
        <f t="shared" ca="1" si="17"/>
        <v>1.5999999894399999E-2</v>
      </c>
      <c r="O159" s="419">
        <f t="shared" ca="1" si="18"/>
        <v>5.0100007867801608</v>
      </c>
    </row>
    <row r="160" spans="1:15" outlineLevel="1" x14ac:dyDescent="0.25">
      <c r="A160" s="453">
        <v>1</v>
      </c>
      <c r="B160" s="821"/>
      <c r="C160" s="127" t="s">
        <v>674</v>
      </c>
      <c r="D160" s="127" t="str">
        <f t="shared" ca="1" si="14"/>
        <v>Almedahls: 914438, 100 % Polyester</v>
      </c>
      <c r="E160" s="128"/>
      <c r="F160" s="422">
        <v>0.5</v>
      </c>
      <c r="G160" s="423">
        <v>169.86779467439999</v>
      </c>
      <c r="H160" s="420">
        <f t="shared" si="15"/>
        <v>1.968503937007874E-2</v>
      </c>
      <c r="I160" s="419">
        <f t="shared" si="16"/>
        <v>5.0100007867801608</v>
      </c>
      <c r="J160" s="126">
        <f t="shared" si="13"/>
        <v>0.1698677946744</v>
      </c>
      <c r="L160" s="48">
        <f>IF(A160=0,$G$54,COUNTIF($L$109:L159,"&lt;"&amp;$G$54)+1)</f>
        <v>47</v>
      </c>
      <c r="M160" s="6" t="str">
        <f ca="1">IFERROR(INDEX($D$110:OFFSET($D$110,$D$107-1,0),MATCH(ROW()-ROW($L$109),$L$110:OFFSET($L$110,$D$107-1,0),0)),"")</f>
        <v>Almedahls: 917172, 100 % Polyester</v>
      </c>
      <c r="N160" s="420">
        <f t="shared" ca="1" si="17"/>
        <v>2.5999999828400001E-2</v>
      </c>
      <c r="O160" s="419">
        <f t="shared" ca="1" si="18"/>
        <v>4.4200006941254113</v>
      </c>
    </row>
    <row r="161" spans="1:15" outlineLevel="1" x14ac:dyDescent="0.25">
      <c r="A161" s="453">
        <v>1</v>
      </c>
      <c r="B161" s="821"/>
      <c r="C161" s="127" t="s">
        <v>675</v>
      </c>
      <c r="D161" s="127" t="str">
        <f t="shared" ca="1" si="14"/>
        <v>Almedahls: 914538, 100 % Polyester</v>
      </c>
      <c r="E161" s="128"/>
      <c r="F161" s="422">
        <v>0.35559999765304001</v>
      </c>
      <c r="G161" s="423">
        <v>114.94048382160001</v>
      </c>
      <c r="H161" s="420">
        <f t="shared" si="15"/>
        <v>1.3999999907600001E-2</v>
      </c>
      <c r="I161" s="419">
        <f t="shared" si="16"/>
        <v>3.3900005323722051</v>
      </c>
      <c r="J161" s="126">
        <f t="shared" si="13"/>
        <v>0.11494048382160001</v>
      </c>
      <c r="L161" s="48">
        <f>IF(A161=0,$G$54,COUNTIF($L$109:L160,"&lt;"&amp;$G$54)+1)</f>
        <v>48</v>
      </c>
      <c r="M161" s="6" t="str">
        <f ca="1">IFERROR(INDEX($D$110:OFFSET($D$110,$D$107-1,0),MATCH(ROW()-ROW($L$109),$L$110:OFFSET($L$110,$D$107-1,0),0)),"")</f>
        <v>Almedahls: 917172, 100 % Polyester</v>
      </c>
      <c r="N161" s="420">
        <f t="shared" ca="1" si="17"/>
        <v>2.5999999828400001E-2</v>
      </c>
      <c r="O161" s="419">
        <f t="shared" ca="1" si="18"/>
        <v>4.4200006941254113</v>
      </c>
    </row>
    <row r="162" spans="1:15" outlineLevel="1" x14ac:dyDescent="0.25">
      <c r="A162" s="453">
        <v>1</v>
      </c>
      <c r="B162" s="821"/>
      <c r="C162" s="127" t="s">
        <v>676</v>
      </c>
      <c r="D162" s="127" t="str">
        <f t="shared" ca="1" si="14"/>
        <v>Almedahls: 917132, 100 % Polyester</v>
      </c>
      <c r="E162" s="128"/>
      <c r="F162" s="422">
        <v>0.30479999798832003</v>
      </c>
      <c r="G162" s="423">
        <v>149.86340368480001</v>
      </c>
      <c r="H162" s="420">
        <f t="shared" si="15"/>
        <v>1.1999999920800001E-2</v>
      </c>
      <c r="I162" s="419">
        <f t="shared" si="16"/>
        <v>4.4200006941254113</v>
      </c>
      <c r="J162" s="126">
        <f t="shared" si="13"/>
        <v>0.1498634036848</v>
      </c>
      <c r="L162" s="48">
        <f>IF(A162=0,$G$54,COUNTIF($L$109:L161,"&lt;"&amp;$G$54)+1)</f>
        <v>49</v>
      </c>
      <c r="M162" s="6" t="str">
        <f ca="1">IFERROR(INDEX($D$110:OFFSET($D$110,$D$107-1,0),MATCH(ROW()-ROW($L$109),$L$110:OFFSET($L$110,$D$107-1,0),0)),"")</f>
        <v>Almedahls: 918338, 100 % Polyester</v>
      </c>
      <c r="N162" s="420">
        <f t="shared" ca="1" si="17"/>
        <v>1.5999999894399999E-2</v>
      </c>
      <c r="O162" s="419">
        <f t="shared" ca="1" si="18"/>
        <v>5.3100008338927456</v>
      </c>
    </row>
    <row r="163" spans="1:15" outlineLevel="1" x14ac:dyDescent="0.25">
      <c r="A163" s="453">
        <v>1</v>
      </c>
      <c r="B163" s="821"/>
      <c r="C163" s="127" t="s">
        <v>677</v>
      </c>
      <c r="D163" s="127" t="str">
        <f t="shared" ca="1" si="14"/>
        <v>Almedahls: 917147, 100 % Polyester</v>
      </c>
      <c r="E163" s="128"/>
      <c r="F163" s="422">
        <v>0.40639999731776</v>
      </c>
      <c r="G163" s="423">
        <v>169.86779467439999</v>
      </c>
      <c r="H163" s="420">
        <f t="shared" si="15"/>
        <v>1.5999999894399999E-2</v>
      </c>
      <c r="I163" s="419">
        <f t="shared" si="16"/>
        <v>5.0100007867801608</v>
      </c>
      <c r="J163" s="126">
        <f t="shared" si="13"/>
        <v>0.1698677946744</v>
      </c>
      <c r="L163" s="48">
        <f>IF(A163=0,$G$54,COUNTIF($L$109:L162,"&lt;"&amp;$G$54)+1)</f>
        <v>50</v>
      </c>
      <c r="M163" s="6" t="str">
        <f ca="1">IFERROR(INDEX($D$110:OFFSET($D$110,$D$107-1,0),MATCH(ROW()-ROW($L$109),$L$110:OFFSET($L$110,$D$107-1,0),0)),"")</f>
        <v>Almedahls: 918345, 100 % Polyester</v>
      </c>
      <c r="N163" s="420">
        <f t="shared" ca="1" si="17"/>
        <v>2.3999999841600003E-2</v>
      </c>
      <c r="O163" s="419">
        <f t="shared" ca="1" si="18"/>
        <v>10.770001691341783</v>
      </c>
    </row>
    <row r="164" spans="1:15" outlineLevel="1" x14ac:dyDescent="0.25">
      <c r="A164" s="453">
        <v>1</v>
      </c>
      <c r="B164" s="821"/>
      <c r="C164" s="127" t="s">
        <v>678</v>
      </c>
      <c r="D164" s="127" t="str">
        <f t="shared" ca="1" si="14"/>
        <v>Almedahls: 917172, 100 % Polyester</v>
      </c>
      <c r="E164" s="128"/>
      <c r="F164" s="422">
        <v>0.66039999564135998</v>
      </c>
      <c r="G164" s="423">
        <v>149.86340368480001</v>
      </c>
      <c r="H164" s="420">
        <f t="shared" si="15"/>
        <v>2.5999999828400001E-2</v>
      </c>
      <c r="I164" s="419">
        <f t="shared" si="16"/>
        <v>4.4200006941254113</v>
      </c>
      <c r="J164" s="126">
        <f t="shared" si="13"/>
        <v>0.1498634036848</v>
      </c>
      <c r="L164" s="48">
        <f>IF(A164=0,$G$54,COUNTIF($L$109:L163,"&lt;"&amp;$G$54)+1)</f>
        <v>51</v>
      </c>
      <c r="M164" s="6" t="str">
        <f ca="1">IFERROR(INDEX($D$110:OFFSET($D$110,$D$107-1,0),MATCH(ROW()-ROW($L$109),$L$110:OFFSET($L$110,$D$107-1,0),0)),"")</f>
        <v>Almedahls: 918348, 100 % Polyester</v>
      </c>
      <c r="N164" s="420">
        <f t="shared" ca="1" si="17"/>
        <v>1.5999999894399999E-2</v>
      </c>
      <c r="O164" s="419">
        <f t="shared" ca="1" si="18"/>
        <v>5.3100008338927456</v>
      </c>
    </row>
    <row r="165" spans="1:15" outlineLevel="1" x14ac:dyDescent="0.25">
      <c r="A165" s="453">
        <v>1</v>
      </c>
      <c r="B165" s="821"/>
      <c r="C165" s="127" t="s">
        <v>678</v>
      </c>
      <c r="D165" s="127" t="str">
        <f t="shared" ca="1" si="14"/>
        <v>Almedahls: 917172, 100 % Polyester</v>
      </c>
      <c r="E165" s="128"/>
      <c r="F165" s="422">
        <v>0.66039999564135998</v>
      </c>
      <c r="G165" s="423">
        <v>149.86340368480001</v>
      </c>
      <c r="H165" s="420">
        <f t="shared" si="15"/>
        <v>2.5999999828400001E-2</v>
      </c>
      <c r="I165" s="419">
        <f t="shared" si="16"/>
        <v>4.4200006941254113</v>
      </c>
      <c r="J165" s="126">
        <f t="shared" si="13"/>
        <v>0.1498634036848</v>
      </c>
      <c r="L165" s="48">
        <f>IF(A165=0,$G$54,COUNTIF($L$109:L164,"&lt;"&amp;$G$54)+1)</f>
        <v>52</v>
      </c>
      <c r="M165" s="6" t="str">
        <f ca="1">IFERROR(INDEX($D$110:OFFSET($D$110,$D$107-1,0),MATCH(ROW()-ROW($L$109),$L$110:OFFSET($L$110,$D$107-1,0),0)),"")</f>
        <v>Almedahls: 918359, 100 % Polyester</v>
      </c>
      <c r="N165" s="420">
        <f t="shared" ca="1" si="17"/>
        <v>1.5999999894399999E-2</v>
      </c>
      <c r="O165" s="419">
        <f t="shared" ca="1" si="18"/>
        <v>5.3100008338927456</v>
      </c>
    </row>
    <row r="166" spans="1:15" outlineLevel="1" x14ac:dyDescent="0.25">
      <c r="A166" s="453">
        <v>1</v>
      </c>
      <c r="B166" s="821"/>
      <c r="C166" s="127" t="s">
        <v>679</v>
      </c>
      <c r="D166" s="127" t="str">
        <f t="shared" ca="1" si="14"/>
        <v>Almedahls: 918338, 100 % Polyester</v>
      </c>
      <c r="E166" s="128"/>
      <c r="F166" s="422">
        <v>0.40639999731776</v>
      </c>
      <c r="G166" s="423">
        <v>180.03951890639999</v>
      </c>
      <c r="H166" s="420">
        <f t="shared" si="15"/>
        <v>1.5999999894399999E-2</v>
      </c>
      <c r="I166" s="419">
        <f t="shared" si="16"/>
        <v>5.3100008338927456</v>
      </c>
      <c r="J166" s="126">
        <f t="shared" si="13"/>
        <v>0.18003951890639999</v>
      </c>
      <c r="L166" s="48">
        <f>IF(A166=0,$G$54,COUNTIF($L$109:L165,"&lt;"&amp;$G$54)+1)</f>
        <v>53</v>
      </c>
      <c r="M166" s="6" t="str">
        <f ca="1">IFERROR(INDEX($D$110:OFFSET($D$110,$D$107-1,0),MATCH(ROW()-ROW($L$109),$L$110:OFFSET($L$110,$D$107-1,0),0)),"")</f>
        <v>Almedahls: 918361, 100 % Polyester</v>
      </c>
      <c r="N166" s="420">
        <f t="shared" ca="1" si="17"/>
        <v>1.5999999894399999E-2</v>
      </c>
      <c r="O166" s="419">
        <f t="shared" ca="1" si="18"/>
        <v>5.3100008338927456</v>
      </c>
    </row>
    <row r="167" spans="1:15" outlineLevel="1" x14ac:dyDescent="0.25">
      <c r="A167" s="453">
        <v>1</v>
      </c>
      <c r="B167" s="821"/>
      <c r="C167" s="127" t="s">
        <v>680</v>
      </c>
      <c r="D167" s="127" t="str">
        <f t="shared" ca="1" si="14"/>
        <v>Almedahls: 918345, 100 % Polyester</v>
      </c>
      <c r="E167" s="128"/>
      <c r="F167" s="422">
        <v>0.60959999597664005</v>
      </c>
      <c r="G167" s="423">
        <v>365.16489992879997</v>
      </c>
      <c r="H167" s="420">
        <f t="shared" si="15"/>
        <v>2.3999999841600003E-2</v>
      </c>
      <c r="I167" s="419">
        <f t="shared" si="16"/>
        <v>10.770001691341783</v>
      </c>
      <c r="J167" s="126">
        <f t="shared" si="13"/>
        <v>0.36516489992879997</v>
      </c>
      <c r="L167" s="48">
        <f>IF(A167=0,$G$54,COUNTIF($L$109:L166,"&lt;"&amp;$G$54)+1)</f>
        <v>54</v>
      </c>
      <c r="M167" s="6" t="str">
        <f ca="1">IFERROR(INDEX($D$110:OFFSET($D$110,$D$107-1,0),MATCH(ROW()-ROW($L$109),$L$110:OFFSET($L$110,$D$107-1,0),0)),"")</f>
        <v>Almedahls: 952309, 86% Polyester 14% Flax</v>
      </c>
      <c r="N167" s="420">
        <f t="shared" ca="1" si="17"/>
        <v>1.9999999867999999E-2</v>
      </c>
      <c r="O167" s="419">
        <f t="shared" ca="1" si="18"/>
        <v>6.6360441023340071</v>
      </c>
    </row>
    <row r="168" spans="1:15" outlineLevel="1" x14ac:dyDescent="0.25">
      <c r="A168" s="453">
        <v>1</v>
      </c>
      <c r="B168" s="821"/>
      <c r="C168" s="127" t="s">
        <v>681</v>
      </c>
      <c r="D168" s="127" t="str">
        <f t="shared" ca="1" si="14"/>
        <v>Almedahls: 918348, 100 % Polyester</v>
      </c>
      <c r="E168" s="128"/>
      <c r="F168" s="422">
        <v>0.40639999731776</v>
      </c>
      <c r="G168" s="423">
        <v>180.03951890639999</v>
      </c>
      <c r="H168" s="420">
        <f t="shared" si="15"/>
        <v>1.5999999894399999E-2</v>
      </c>
      <c r="I168" s="419">
        <f t="shared" si="16"/>
        <v>5.3100008338927456</v>
      </c>
      <c r="J168" s="126">
        <f t="shared" si="13"/>
        <v>0.18003951890639999</v>
      </c>
      <c r="L168" s="48">
        <f>IF(A168=0,$G$54,COUNTIF($L$109:L167,"&lt;"&amp;$G$54)+1)</f>
        <v>55</v>
      </c>
      <c r="M168" s="6" t="str">
        <f ca="1">IFERROR(INDEX($D$110:OFFSET($D$110,$D$107-1,0),MATCH(ROW()-ROW($L$109),$L$110:OFFSET($L$110,$D$107-1,0),0)),"")</f>
        <v>Almedahls: 952335, 86% Polyester 14% Flax</v>
      </c>
      <c r="N168" s="420">
        <f t="shared" ca="1" si="17"/>
        <v>2.3999999841600003E-2</v>
      </c>
      <c r="O168" s="419">
        <f t="shared" ca="1" si="18"/>
        <v>11.79741173748268</v>
      </c>
    </row>
    <row r="169" spans="1:15" outlineLevel="1" x14ac:dyDescent="0.25">
      <c r="A169" s="453">
        <v>1</v>
      </c>
      <c r="B169" s="821"/>
      <c r="C169" s="127" t="s">
        <v>682</v>
      </c>
      <c r="D169" s="127" t="str">
        <f t="shared" ca="1" si="14"/>
        <v>Almedahls: 918359, 100 % Polyester</v>
      </c>
      <c r="E169" s="128"/>
      <c r="F169" s="422">
        <v>0.40639999731776</v>
      </c>
      <c r="G169" s="423">
        <v>180.03951890639999</v>
      </c>
      <c r="H169" s="420">
        <f t="shared" si="15"/>
        <v>1.5999999894399999E-2</v>
      </c>
      <c r="I169" s="419">
        <f t="shared" si="16"/>
        <v>5.3100008338927456</v>
      </c>
      <c r="J169" s="126">
        <f t="shared" si="13"/>
        <v>0.18003951890639999</v>
      </c>
      <c r="L169" s="48">
        <f>IF(A169=0,$G$54,COUNTIF($L$109:L168,"&lt;"&amp;$G$54)+1)</f>
        <v>56</v>
      </c>
      <c r="M169" s="6" t="str">
        <f ca="1">IFERROR(INDEX($D$110:OFFSET($D$110,$D$107-1,0),MATCH(ROW()-ROW($L$109),$L$110:OFFSET($L$110,$D$107-1,0),0)),"")</f>
        <v>Almedahls: 953208, 95% Polyester 5% Flax</v>
      </c>
      <c r="N169" s="420">
        <f t="shared" ca="1" si="17"/>
        <v>1.5748031496062992E-2</v>
      </c>
      <c r="O169" s="419">
        <f t="shared" ca="1" si="18"/>
        <v>5.3100008338927456</v>
      </c>
    </row>
    <row r="170" spans="1:15" outlineLevel="1" x14ac:dyDescent="0.25">
      <c r="A170" s="453">
        <v>1</v>
      </c>
      <c r="B170" s="821"/>
      <c r="C170" s="127" t="s">
        <v>683</v>
      </c>
      <c r="D170" s="127" t="str">
        <f t="shared" ca="1" si="14"/>
        <v>Almedahls: 918361, 100 % Polyester</v>
      </c>
      <c r="E170" s="128"/>
      <c r="F170" s="422">
        <v>0.40639999731776</v>
      </c>
      <c r="G170" s="423">
        <v>180.03951890639999</v>
      </c>
      <c r="H170" s="420">
        <f t="shared" si="15"/>
        <v>1.5999999894399999E-2</v>
      </c>
      <c r="I170" s="419">
        <f t="shared" si="16"/>
        <v>5.3100008338927456</v>
      </c>
      <c r="J170" s="126">
        <f t="shared" si="13"/>
        <v>0.18003951890639999</v>
      </c>
      <c r="L170" s="48">
        <f>IF(A170=0,$G$54,COUNTIF($L$109:L169,"&lt;"&amp;$G$54)+1)</f>
        <v>57</v>
      </c>
      <c r="M170" s="6" t="str">
        <f ca="1">IFERROR(INDEX($D$110:OFFSET($D$110,$D$107-1,0),MATCH(ROW()-ROW($L$109),$L$110:OFFSET($L$110,$D$107-1,0),0)),"")</f>
        <v>Almedahls: 953235, 95% Polyester 5% Flax</v>
      </c>
      <c r="N170" s="420">
        <f t="shared" ca="1" si="17"/>
        <v>1.968503937007874E-2</v>
      </c>
      <c r="O170" s="419">
        <f t="shared" ca="1" si="18"/>
        <v>9.7300015280181587</v>
      </c>
    </row>
    <row r="171" spans="1:15" outlineLevel="1" x14ac:dyDescent="0.25">
      <c r="A171" s="453">
        <v>1</v>
      </c>
      <c r="B171" s="821"/>
      <c r="C171" s="127" t="s">
        <v>684</v>
      </c>
      <c r="D171" s="127" t="str">
        <f t="shared" ca="1" si="14"/>
        <v>Almedahls: 952309, 86% Polyester 14% Flax</v>
      </c>
      <c r="E171" s="128"/>
      <c r="F171" s="422">
        <v>0.50799999664719997</v>
      </c>
      <c r="G171" s="423">
        <v>225</v>
      </c>
      <c r="H171" s="420">
        <f t="shared" si="15"/>
        <v>1.9999999867999999E-2</v>
      </c>
      <c r="I171" s="419">
        <f t="shared" si="16"/>
        <v>6.6360441023340071</v>
      </c>
      <c r="J171" s="126">
        <f t="shared" si="13"/>
        <v>0.22500000000000001</v>
      </c>
      <c r="L171" s="48">
        <f>IF(A171=0,$G$54,COUNTIF($L$109:L170,"&lt;"&amp;$G$54)+1)</f>
        <v>58</v>
      </c>
      <c r="M171" s="6" t="str">
        <f ca="1">IFERROR(INDEX($D$110:OFFSET($D$110,$D$107-1,0),MATCH(ROW()-ROW($L$109),$L$110:OFFSET($L$110,$D$107-1,0),0)),"")</f>
        <v>SierraSol Mesa Blackout - can't be Railroaded.</v>
      </c>
      <c r="N171" s="420">
        <f t="shared" ca="1" si="17"/>
        <v>2.0999999861400002E-2</v>
      </c>
      <c r="O171" s="419">
        <f t="shared" ca="1" si="18"/>
        <v>9.4300014809055721</v>
      </c>
    </row>
    <row r="172" spans="1:15" outlineLevel="1" x14ac:dyDescent="0.25">
      <c r="A172" s="453">
        <v>1</v>
      </c>
      <c r="B172" s="821"/>
      <c r="C172" s="127" t="s">
        <v>685</v>
      </c>
      <c r="D172" s="127" t="str">
        <f t="shared" ca="1" si="14"/>
        <v>Almedahls: 952335, 86% Polyester 14% Flax</v>
      </c>
      <c r="E172" s="128"/>
      <c r="F172" s="422">
        <v>0.60959999597664005</v>
      </c>
      <c r="G172" s="423">
        <v>400</v>
      </c>
      <c r="H172" s="420">
        <f t="shared" si="15"/>
        <v>2.3999999841600003E-2</v>
      </c>
      <c r="I172" s="419">
        <f t="shared" si="16"/>
        <v>11.79741173748268</v>
      </c>
      <c r="J172" s="126">
        <f t="shared" si="13"/>
        <v>0.4</v>
      </c>
      <c r="L172" s="48">
        <f>IF(A172=0,$G$54,COUNTIF($L$109:L171,"&lt;"&amp;$G$54)+1)</f>
        <v>59</v>
      </c>
      <c r="M172" s="6" t="str">
        <f ca="1">IFERROR(INDEX($D$110:OFFSET($D$110,$D$107-1,0),MATCH(ROW()-ROW($L$109),$L$110:OFFSET($L$110,$D$107-1,0),0)),"")</f>
        <v>SierraSol Vista Blackout - can't be Railroaded.</v>
      </c>
      <c r="N172" s="420">
        <f t="shared" ca="1" si="17"/>
        <v>1.9999999867999999E-2</v>
      </c>
      <c r="O172" s="419">
        <f t="shared" ca="1" si="18"/>
        <v>11.140001749447306</v>
      </c>
    </row>
    <row r="173" spans="1:15" outlineLevel="1" x14ac:dyDescent="0.25">
      <c r="A173" s="453">
        <v>1</v>
      </c>
      <c r="B173" s="821"/>
      <c r="C173" s="127" t="s">
        <v>686</v>
      </c>
      <c r="D173" s="127" t="str">
        <f t="shared" ca="1" si="14"/>
        <v>Almedahls: 953208, 95% Polyester 5% Flax</v>
      </c>
      <c r="E173" s="128"/>
      <c r="F173" s="422">
        <v>0.39999999999999997</v>
      </c>
      <c r="G173" s="423">
        <v>180.03951890639999</v>
      </c>
      <c r="H173" s="420">
        <f t="shared" si="15"/>
        <v>1.5748031496062992E-2</v>
      </c>
      <c r="I173" s="419">
        <f t="shared" si="16"/>
        <v>5.3100008338927456</v>
      </c>
      <c r="J173" s="126">
        <f t="shared" si="13"/>
        <v>0.18003951890639999</v>
      </c>
      <c r="L173" s="48">
        <f>IF(A173=0,$G$54,COUNTIF($L$109:L172,"&lt;"&amp;$G$54)+1)</f>
        <v>60</v>
      </c>
      <c r="M173" s="6" t="str">
        <f ca="1">IFERROR(INDEX($D$110:OFFSET($D$110,$D$107-1,0),MATCH(ROW()-ROW($L$109),$L$110:OFFSET($L$110,$D$107-1,0),0)),"")</f>
        <v>Mermet A</v>
      </c>
      <c r="N173" s="420">
        <f t="shared" ca="1" si="17"/>
        <v>2.0999999861400002E-2</v>
      </c>
      <c r="O173" s="419">
        <f t="shared" ca="1" si="18"/>
        <v>10.400001633236263</v>
      </c>
    </row>
    <row r="174" spans="1:15" outlineLevel="1" x14ac:dyDescent="0.25">
      <c r="A174" s="453">
        <v>1</v>
      </c>
      <c r="B174" s="821"/>
      <c r="C174" s="127" t="s">
        <v>687</v>
      </c>
      <c r="D174" s="127" t="str">
        <f t="shared" ref="D174:D205" ca="1" si="19">IFERROR(INDEX(Language_Dictionary,MATCH(C174,Language_Base,0),MATCH(Language_Selected,Language_available,0)), C174)</f>
        <v>Almedahls: 953235, 95% Polyester 5% Flax</v>
      </c>
      <c r="E174" s="128"/>
      <c r="F174" s="422">
        <v>0.5</v>
      </c>
      <c r="G174" s="423">
        <v>329.90292259120002</v>
      </c>
      <c r="H174" s="420">
        <f t="shared" ref="H174:H205" si="20">F174/conv_mm</f>
        <v>1.968503937007874E-2</v>
      </c>
      <c r="I174" s="419">
        <f t="shared" ref="I174:I205" si="21">G174/conv_gsm</f>
        <v>9.7300015280181587</v>
      </c>
      <c r="J174" s="126">
        <f t="shared" si="13"/>
        <v>0.32990292259120002</v>
      </c>
      <c r="L174" s="48">
        <f>IF(A174=0,$G$54,COUNTIF($L$109:L173,"&lt;"&amp;$G$54)+1)</f>
        <v>61</v>
      </c>
      <c r="M174" s="6" t="str">
        <f ca="1">IFERROR(INDEX($D$110:OFFSET($D$110,$D$107-1,0),MATCH(ROW()-ROW($L$109),$L$110:OFFSET($L$110,$D$107-1,0),0)),"")</f>
        <v>Mermet Avila Twilight</v>
      </c>
      <c r="N174" s="420">
        <f t="shared" ref="N174:N205" ca="1" si="22">VLOOKUP(M174,fabric_lookup,5,FALSE)</f>
        <v>2.14999998581E-2</v>
      </c>
      <c r="O174" s="419">
        <f t="shared" ref="O174:O205" ca="1" si="23">VLOOKUP(M174,fabric_lookup,6,FALSE)</f>
        <v>12.40000194732016</v>
      </c>
    </row>
    <row r="175" spans="1:15" outlineLevel="1" x14ac:dyDescent="0.25">
      <c r="A175" s="453">
        <v>1</v>
      </c>
      <c r="B175" s="821"/>
      <c r="C175" s="127" t="s">
        <v>688</v>
      </c>
      <c r="D175" s="127" t="str">
        <f t="shared" ca="1" si="19"/>
        <v>SierraSol Mesa Blackout - can't be Railroaded.</v>
      </c>
      <c r="E175" s="128"/>
      <c r="F175" s="422">
        <v>0.53339999647956005</v>
      </c>
      <c r="G175" s="423">
        <v>319.73119835919999</v>
      </c>
      <c r="H175" s="420">
        <f t="shared" si="20"/>
        <v>2.0999999861400002E-2</v>
      </c>
      <c r="I175" s="419">
        <f t="shared" si="21"/>
        <v>9.4300014809055721</v>
      </c>
      <c r="J175" s="126">
        <f t="shared" ref="J175:J228" si="24">G175/1000</f>
        <v>0.3197311983592</v>
      </c>
      <c r="L175" s="48">
        <f>IF(A175=0,$G$54,COUNTIF($L$109:L174,"&lt;"&amp;$G$54)+1)</f>
        <v>62</v>
      </c>
      <c r="M175" s="6" t="str">
        <f ca="1">IFERROR(INDEX($D$110:OFFSET($D$110,$D$107-1,0),MATCH(ROW()-ROW($L$109),$L$110:OFFSET($L$110,$D$107-1,0),0)),"")</f>
        <v>Mermet E 7501 1%</v>
      </c>
      <c r="N175" s="420">
        <f t="shared" ca="1" si="22"/>
        <v>1.9999999867999999E-2</v>
      </c>
      <c r="O175" s="419">
        <f t="shared" ca="1" si="23"/>
        <v>13.300002088657914</v>
      </c>
    </row>
    <row r="176" spans="1:15" outlineLevel="1" x14ac:dyDescent="0.25">
      <c r="A176" s="453">
        <v>1</v>
      </c>
      <c r="B176" s="821"/>
      <c r="C176" s="127" t="s">
        <v>689</v>
      </c>
      <c r="D176" s="127" t="str">
        <f t="shared" ca="1" si="19"/>
        <v>SierraSol Vista Blackout - can't be Railroaded.</v>
      </c>
      <c r="E176" s="128"/>
      <c r="F176" s="422">
        <v>0.50799999664719997</v>
      </c>
      <c r="G176" s="423">
        <v>377.71002648160004</v>
      </c>
      <c r="H176" s="420">
        <f t="shared" si="20"/>
        <v>1.9999999867999999E-2</v>
      </c>
      <c r="I176" s="419">
        <f t="shared" si="21"/>
        <v>11.140001749447306</v>
      </c>
      <c r="J176" s="126">
        <f t="shared" si="24"/>
        <v>0.37771002648160001</v>
      </c>
      <c r="L176" s="48">
        <f>IF(A176=0,$G$54,COUNTIF($L$109:L175,"&lt;"&amp;$G$54)+1)</f>
        <v>63</v>
      </c>
      <c r="M176" s="6" t="str">
        <f ca="1">IFERROR(INDEX($D$110:OFFSET($D$110,$D$107-1,0),MATCH(ROW()-ROW($L$109),$L$110:OFFSET($L$110,$D$107-1,0),0)),"")</f>
        <v>Mermet E 7503 3%</v>
      </c>
      <c r="N176" s="420">
        <f t="shared" ca="1" si="22"/>
        <v>1.9999999867999999E-2</v>
      </c>
      <c r="O176" s="419">
        <f t="shared" ca="1" si="23"/>
        <v>12.300001931615965</v>
      </c>
    </row>
    <row r="177" spans="1:15" outlineLevel="1" x14ac:dyDescent="0.25">
      <c r="A177" s="453">
        <v>1</v>
      </c>
      <c r="B177" s="821"/>
      <c r="C177" s="127" t="s">
        <v>690</v>
      </c>
      <c r="D177" s="127" t="str">
        <f t="shared" ca="1" si="19"/>
        <v>Mermet A</v>
      </c>
      <c r="E177" s="128"/>
      <c r="F177" s="422">
        <v>0.53339999647956005</v>
      </c>
      <c r="G177" s="423">
        <v>352.61977337600001</v>
      </c>
      <c r="H177" s="420">
        <f t="shared" si="20"/>
        <v>2.0999999861400002E-2</v>
      </c>
      <c r="I177" s="419">
        <f t="shared" si="21"/>
        <v>10.400001633236263</v>
      </c>
      <c r="J177" s="126">
        <f t="shared" si="24"/>
        <v>0.35261977337600003</v>
      </c>
      <c r="L177" s="48">
        <f>IF(A177=0,$G$54,COUNTIF($L$109:L176,"&lt;"&amp;$G$54)+1)</f>
        <v>64</v>
      </c>
      <c r="M177" s="6" t="str">
        <f ca="1">IFERROR(INDEX($D$110:OFFSET($D$110,$D$107-1,0),MATCH(ROW()-ROW($L$109),$L$110:OFFSET($L$110,$D$107-1,0),0)),"")</f>
        <v>Mermet E 7505 5%</v>
      </c>
      <c r="N177" s="420">
        <f t="shared" ca="1" si="22"/>
        <v>1.9999999867999999E-2</v>
      </c>
      <c r="O177" s="419">
        <f t="shared" ca="1" si="23"/>
        <v>12.100001900207573</v>
      </c>
    </row>
    <row r="178" spans="1:15" outlineLevel="1" x14ac:dyDescent="0.25">
      <c r="A178" s="453">
        <v>1</v>
      </c>
      <c r="B178" s="821"/>
      <c r="C178" s="127" t="s">
        <v>691</v>
      </c>
      <c r="D178" s="127" t="str">
        <f t="shared" ca="1" si="19"/>
        <v>Mermet Avila Twilight</v>
      </c>
      <c r="E178" s="128"/>
      <c r="F178" s="422">
        <v>0.54609999639573992</v>
      </c>
      <c r="G178" s="423">
        <v>420.43126825600001</v>
      </c>
      <c r="H178" s="420">
        <f t="shared" si="20"/>
        <v>2.14999998581E-2</v>
      </c>
      <c r="I178" s="419">
        <f t="shared" si="21"/>
        <v>12.40000194732016</v>
      </c>
      <c r="J178" s="126">
        <f t="shared" si="24"/>
        <v>0.42043126825600002</v>
      </c>
      <c r="L178" s="48">
        <f>IF(A178=0,$G$54,COUNTIF($L$109:L177,"&lt;"&amp;$G$54)+1)</f>
        <v>65</v>
      </c>
      <c r="M178" s="6" t="str">
        <f ca="1">IFERROR(INDEX($D$110:OFFSET($D$110,$D$107-1,0),MATCH(ROW()-ROW($L$109),$L$110:OFFSET($L$110,$D$107-1,0),0)),"")</f>
        <v>Mermet E 7510 10%</v>
      </c>
      <c r="N178" s="420">
        <f t="shared" ca="1" si="22"/>
        <v>2.1999999854800001E-2</v>
      </c>
      <c r="O178" s="419">
        <f t="shared" ca="1" si="23"/>
        <v>10.300001617532068</v>
      </c>
    </row>
    <row r="179" spans="1:15" outlineLevel="1" x14ac:dyDescent="0.25">
      <c r="A179" s="453">
        <v>1</v>
      </c>
      <c r="B179" s="821"/>
      <c r="C179" s="127" t="s">
        <v>692</v>
      </c>
      <c r="D179" s="127" t="str">
        <f t="shared" ca="1" si="19"/>
        <v>Mermet E 7501 1%</v>
      </c>
      <c r="E179" s="128"/>
      <c r="F179" s="422">
        <v>0.50799999664719997</v>
      </c>
      <c r="G179" s="423">
        <v>450.94644095200005</v>
      </c>
      <c r="H179" s="420">
        <f t="shared" si="20"/>
        <v>1.9999999867999999E-2</v>
      </c>
      <c r="I179" s="419">
        <f t="shared" si="21"/>
        <v>13.300002088657914</v>
      </c>
      <c r="J179" s="126">
        <f t="shared" si="24"/>
        <v>0.45094644095200004</v>
      </c>
      <c r="L179" s="48">
        <f>IF(A179=0,$G$54,COUNTIF($L$109:L178,"&lt;"&amp;$G$54)+1)</f>
        <v>66</v>
      </c>
      <c r="M179" s="6" t="str">
        <f ca="1">IFERROR(INDEX($D$110:OFFSET($D$110,$D$107-1,0),MATCH(ROW()-ROW($L$109),$L$110:OFFSET($L$110,$D$107-1,0),0)),"")</f>
        <v>Mermet Flocké</v>
      </c>
      <c r="N179" s="420">
        <f t="shared" ca="1" si="22"/>
        <v>2.1999999854800001E-2</v>
      </c>
      <c r="O179" s="419">
        <f t="shared" ca="1" si="23"/>
        <v>14.700002308516639</v>
      </c>
    </row>
    <row r="180" spans="1:15" outlineLevel="1" x14ac:dyDescent="0.25">
      <c r="A180" s="453">
        <v>1</v>
      </c>
      <c r="B180" s="821"/>
      <c r="C180" s="127" t="s">
        <v>693</v>
      </c>
      <c r="D180" s="127" t="str">
        <f t="shared" ca="1" si="19"/>
        <v>Mermet E 7503 3%</v>
      </c>
      <c r="E180" s="128"/>
      <c r="F180" s="422">
        <v>0.50799999664719997</v>
      </c>
      <c r="G180" s="423">
        <v>417.04069351200002</v>
      </c>
      <c r="H180" s="420">
        <f t="shared" si="20"/>
        <v>1.9999999867999999E-2</v>
      </c>
      <c r="I180" s="419">
        <f t="shared" si="21"/>
        <v>12.300001931615965</v>
      </c>
      <c r="J180" s="126">
        <f t="shared" si="24"/>
        <v>0.41704069351200002</v>
      </c>
      <c r="L180" s="48">
        <f>IF(A180=0,$G$54,COUNTIF($L$109:L179,"&lt;"&amp;$G$54)+1)</f>
        <v>67</v>
      </c>
      <c r="M180" s="6" t="str">
        <f ca="1">IFERROR(INDEX($D$110:OFFSET($D$110,$D$107-1,0),MATCH(ROW()-ROW($L$109),$L$110:OFFSET($L$110,$D$107-1,0),0)),"")</f>
        <v>Mermet M 8503</v>
      </c>
      <c r="N180" s="420">
        <f t="shared" ca="1" si="22"/>
        <v>2.1999999854800001E-2</v>
      </c>
      <c r="O180" s="419">
        <f t="shared" ca="1" si="23"/>
        <v>12.700001994432743</v>
      </c>
    </row>
    <row r="181" spans="1:15" outlineLevel="1" x14ac:dyDescent="0.25">
      <c r="A181" s="453">
        <v>1</v>
      </c>
      <c r="B181" s="821"/>
      <c r="C181" s="127" t="s">
        <v>694</v>
      </c>
      <c r="D181" s="127" t="str">
        <f t="shared" ca="1" si="19"/>
        <v>Mermet E 7505 5%</v>
      </c>
      <c r="E181" s="128"/>
      <c r="F181" s="422">
        <v>0.50799999664719997</v>
      </c>
      <c r="G181" s="423">
        <v>410.25954402399998</v>
      </c>
      <c r="H181" s="420">
        <f t="shared" si="20"/>
        <v>1.9999999867999999E-2</v>
      </c>
      <c r="I181" s="419">
        <f t="shared" si="21"/>
        <v>12.100001900207573</v>
      </c>
      <c r="J181" s="126">
        <f t="shared" si="24"/>
        <v>0.410259544024</v>
      </c>
      <c r="L181" s="48">
        <f>IF(A181=0,$G$54,COUNTIF($L$109:L180,"&lt;"&amp;$G$54)+1)</f>
        <v>68</v>
      </c>
      <c r="M181" s="6" t="str">
        <f ca="1">IFERROR(INDEX($D$110:OFFSET($D$110,$D$107-1,0),MATCH(ROW()-ROW($L$109),$L$110:OFFSET($L$110,$D$107-1,0),0)),"")</f>
        <v>Mermet M 8505</v>
      </c>
      <c r="N181" s="420">
        <f t="shared" ca="1" si="22"/>
        <v>2.1999999854800001E-2</v>
      </c>
      <c r="O181" s="419">
        <f t="shared" ca="1" si="23"/>
        <v>12.100001900207573</v>
      </c>
    </row>
    <row r="182" spans="1:15" outlineLevel="1" x14ac:dyDescent="0.25">
      <c r="A182" s="453">
        <v>1</v>
      </c>
      <c r="B182" s="821"/>
      <c r="C182" s="127" t="s">
        <v>695</v>
      </c>
      <c r="D182" s="127" t="str">
        <f t="shared" ca="1" si="19"/>
        <v>Mermet E 7510 10%</v>
      </c>
      <c r="E182" s="128"/>
      <c r="F182" s="422">
        <v>0.55879999631192001</v>
      </c>
      <c r="G182" s="423">
        <v>349.22919863200002</v>
      </c>
      <c r="H182" s="420">
        <f t="shared" si="20"/>
        <v>2.1999999854800001E-2</v>
      </c>
      <c r="I182" s="419">
        <f t="shared" si="21"/>
        <v>10.300001617532068</v>
      </c>
      <c r="J182" s="126">
        <f t="shared" si="24"/>
        <v>0.34922919863200003</v>
      </c>
      <c r="L182" s="48">
        <f>IF(A182=0,$G$54,COUNTIF($L$109:L181,"&lt;"&amp;$G$54)+1)</f>
        <v>69</v>
      </c>
      <c r="M182" s="6" t="str">
        <f ca="1">IFERROR(INDEX($D$110:OFFSET($D$110,$D$107-1,0),MATCH(ROW()-ROW($L$109),$L$110:OFFSET($L$110,$D$107-1,0),0)),"")</f>
        <v>Mermet M Deco</v>
      </c>
      <c r="N182" s="420">
        <f t="shared" ca="1" si="22"/>
        <v>1.9999999867999999E-2</v>
      </c>
      <c r="O182" s="419">
        <f t="shared" ca="1" si="23"/>
        <v>11.300001774574017</v>
      </c>
    </row>
    <row r="183" spans="1:15" outlineLevel="1" x14ac:dyDescent="0.25">
      <c r="A183" s="453">
        <v>1</v>
      </c>
      <c r="B183" s="821"/>
      <c r="C183" s="127" t="s">
        <v>696</v>
      </c>
      <c r="D183" s="127" t="str">
        <f t="shared" ca="1" si="19"/>
        <v>Mermet Flocké</v>
      </c>
      <c r="E183" s="128"/>
      <c r="F183" s="422">
        <v>0.55879999631192001</v>
      </c>
      <c r="G183" s="423">
        <v>498.41448736799998</v>
      </c>
      <c r="H183" s="420">
        <f t="shared" si="20"/>
        <v>2.1999999854800001E-2</v>
      </c>
      <c r="I183" s="419">
        <f t="shared" si="21"/>
        <v>14.700002308516639</v>
      </c>
      <c r="J183" s="126">
        <f t="shared" si="24"/>
        <v>0.49841448736799998</v>
      </c>
      <c r="L183" s="48">
        <f>IF(A183=0,$G$54,COUNTIF($L$109:L182,"&lt;"&amp;$G$54)+1)</f>
        <v>70</v>
      </c>
      <c r="M183" s="6" t="str">
        <f ca="1">IFERROR(INDEX($D$110:OFFSET($D$110,$D$107-1,0),MATCH(ROW()-ROW($L$109),$L$110:OFFSET($L$110,$D$107-1,0),0)),"")</f>
        <v>Mermet Natte</v>
      </c>
      <c r="N183" s="420">
        <f t="shared" ca="1" si="22"/>
        <v>2.0999999861400002E-2</v>
      </c>
      <c r="O183" s="419">
        <f t="shared" ca="1" si="23"/>
        <v>13.900002182883082</v>
      </c>
    </row>
    <row r="184" spans="1:15" outlineLevel="1" x14ac:dyDescent="0.25">
      <c r="A184" s="453">
        <v>1</v>
      </c>
      <c r="B184" s="821"/>
      <c r="C184" s="127" t="s">
        <v>697</v>
      </c>
      <c r="D184" s="127" t="str">
        <f t="shared" ca="1" si="19"/>
        <v>Mermet M 8503</v>
      </c>
      <c r="E184" s="128"/>
      <c r="F184" s="422">
        <v>0.55879999631192001</v>
      </c>
      <c r="G184" s="423">
        <v>430.60299248799998</v>
      </c>
      <c r="H184" s="420">
        <f t="shared" si="20"/>
        <v>2.1999999854800001E-2</v>
      </c>
      <c r="I184" s="419">
        <f t="shared" si="21"/>
        <v>12.700001994432743</v>
      </c>
      <c r="J184" s="126">
        <f t="shared" si="24"/>
        <v>0.43060299248799999</v>
      </c>
      <c r="L184" s="48">
        <f>IF(A184=0,$G$54,COUNTIF($L$109:L183,"&lt;"&amp;$G$54)+1)</f>
        <v>71</v>
      </c>
      <c r="M184" s="6" t="str">
        <f ca="1">IFERROR(INDEX($D$110:OFFSET($D$110,$D$107-1,0),MATCH(ROW()-ROW($L$109),$L$110:OFFSET($L$110,$D$107-1,0),0)),"")</f>
        <v>Mermet Vela</v>
      </c>
      <c r="N184" s="420">
        <f t="shared" ca="1" si="22"/>
        <v>1.4999999901E-2</v>
      </c>
      <c r="O184" s="419">
        <f t="shared" ca="1" si="23"/>
        <v>4.7100007396675769</v>
      </c>
    </row>
    <row r="185" spans="1:15" outlineLevel="1" x14ac:dyDescent="0.25">
      <c r="A185" s="453">
        <v>1</v>
      </c>
      <c r="B185" s="821"/>
      <c r="C185" s="127" t="s">
        <v>698</v>
      </c>
      <c r="D185" s="127" t="str">
        <f t="shared" ca="1" si="19"/>
        <v>Mermet M 8505</v>
      </c>
      <c r="E185" s="128"/>
      <c r="F185" s="422">
        <v>0.55879999631192001</v>
      </c>
      <c r="G185" s="423">
        <v>410.25954402399998</v>
      </c>
      <c r="H185" s="420">
        <f t="shared" si="20"/>
        <v>2.1999999854800001E-2</v>
      </c>
      <c r="I185" s="419">
        <f t="shared" si="21"/>
        <v>12.100001900207573</v>
      </c>
      <c r="J185" s="126">
        <f t="shared" si="24"/>
        <v>0.410259544024</v>
      </c>
      <c r="L185" s="48">
        <f>IF(A185=0,$G$54,COUNTIF($L$109:L184,"&lt;"&amp;$G$54)+1)</f>
        <v>72</v>
      </c>
      <c r="M185" s="6" t="str">
        <f ca="1">IFERROR(INDEX($D$110:OFFSET($D$110,$D$107-1,0),MATCH(ROW()-ROW($L$109),$L$110:OFFSET($L$110,$D$107-1,0),0)),"")</f>
        <v>Mermet Vienne</v>
      </c>
      <c r="N185" s="420">
        <f t="shared" ca="1" si="22"/>
        <v>2.0999999861400002E-2</v>
      </c>
      <c r="O185" s="419">
        <f t="shared" ca="1" si="23"/>
        <v>10.400001633236263</v>
      </c>
    </row>
    <row r="186" spans="1:15" outlineLevel="1" x14ac:dyDescent="0.25">
      <c r="A186" s="453">
        <v>1</v>
      </c>
      <c r="B186" s="821"/>
      <c r="C186" s="127" t="s">
        <v>699</v>
      </c>
      <c r="D186" s="127" t="str">
        <f t="shared" ca="1" si="19"/>
        <v>Mermet M Deco</v>
      </c>
      <c r="E186" s="128"/>
      <c r="F186" s="422">
        <v>0.50799999664719997</v>
      </c>
      <c r="G186" s="423">
        <v>383.13494607200005</v>
      </c>
      <c r="H186" s="420">
        <f t="shared" si="20"/>
        <v>1.9999999867999999E-2</v>
      </c>
      <c r="I186" s="419">
        <f t="shared" si="21"/>
        <v>11.300001774574017</v>
      </c>
      <c r="J186" s="126">
        <f t="shared" si="24"/>
        <v>0.38313494607200005</v>
      </c>
      <c r="L186" s="48">
        <f>IF(A186=0,$G$54,COUNTIF($L$109:L185,"&lt;"&amp;$G$54)+1)</f>
        <v>73</v>
      </c>
      <c r="M186" s="6" t="str">
        <f ca="1">IFERROR(INDEX($D$110:OFFSET($D$110,$D$107-1,0),MATCH(ROW()-ROW($L$109),$L$110:OFFSET($L$110,$D$107-1,0),0)),"")</f>
        <v>Phifer, SheerWeave Linen</v>
      </c>
      <c r="N186" s="420">
        <f t="shared" ca="1" si="22"/>
        <v>2.69999998218E-2</v>
      </c>
      <c r="O186" s="419">
        <f t="shared" ca="1" si="23"/>
        <v>14.800002324220836</v>
      </c>
    </row>
    <row r="187" spans="1:15" outlineLevel="1" x14ac:dyDescent="0.25">
      <c r="A187" s="453">
        <v>1</v>
      </c>
      <c r="B187" s="821"/>
      <c r="C187" s="127" t="s">
        <v>700</v>
      </c>
      <c r="D187" s="127" t="str">
        <f t="shared" ca="1" si="19"/>
        <v>Mermet Natte</v>
      </c>
      <c r="E187" s="128"/>
      <c r="F187" s="422">
        <v>0.53339999647956005</v>
      </c>
      <c r="G187" s="423">
        <v>471.28988941599999</v>
      </c>
      <c r="H187" s="420">
        <f t="shared" si="20"/>
        <v>2.0999999861400002E-2</v>
      </c>
      <c r="I187" s="419">
        <f t="shared" si="21"/>
        <v>13.900002182883082</v>
      </c>
      <c r="J187" s="126">
        <f t="shared" si="24"/>
        <v>0.47128988941599997</v>
      </c>
      <c r="L187" s="48">
        <f>IF(A187=0,$G$54,COUNTIF($L$109:L186,"&lt;"&amp;$G$54)+1)</f>
        <v>74</v>
      </c>
      <c r="M187" s="6" t="str">
        <f ca="1">IFERROR(INDEX($D$110:OFFSET($D$110,$D$107-1,0),MATCH(ROW()-ROW($L$109),$L$110:OFFSET($L$110,$D$107-1,0),0)),"")</f>
        <v>Phifer, SheerWeave Style 1000</v>
      </c>
      <c r="N187" s="420">
        <f t="shared" ca="1" si="22"/>
        <v>1.9999999867999999E-2</v>
      </c>
      <c r="O187" s="419">
        <f t="shared" ca="1" si="23"/>
        <v>8.8000013819691461</v>
      </c>
    </row>
    <row r="188" spans="1:15" outlineLevel="1" x14ac:dyDescent="0.25">
      <c r="A188" s="453">
        <v>1</v>
      </c>
      <c r="B188" s="821"/>
      <c r="C188" s="127" t="s">
        <v>701</v>
      </c>
      <c r="D188" s="127" t="str">
        <f t="shared" ca="1" si="19"/>
        <v>Mermet Vela</v>
      </c>
      <c r="E188" s="128"/>
      <c r="F188" s="422">
        <v>0.38099999748539998</v>
      </c>
      <c r="G188" s="423">
        <v>159.69607044240001</v>
      </c>
      <c r="H188" s="420">
        <f t="shared" si="20"/>
        <v>1.4999999901E-2</v>
      </c>
      <c r="I188" s="419">
        <f t="shared" si="21"/>
        <v>4.7100007396675769</v>
      </c>
      <c r="J188" s="126">
        <f t="shared" si="24"/>
        <v>0.1596960704424</v>
      </c>
      <c r="L188" s="48">
        <f>IF(A188=0,$G$54,COUNTIF($L$109:L187,"&lt;"&amp;$G$54)+1)</f>
        <v>75</v>
      </c>
      <c r="M188" s="6" t="str">
        <f ca="1">IFERROR(INDEX($D$110:OFFSET($D$110,$D$107-1,0),MATCH(ROW()-ROW($L$109),$L$110:OFFSET($L$110,$D$107-1,0),0)),"")</f>
        <v>Phifer, SheerWeave Style 2000</v>
      </c>
      <c r="N188" s="420">
        <f t="shared" ca="1" si="22"/>
        <v>1.89999998746E-2</v>
      </c>
      <c r="O188" s="419">
        <f t="shared" ca="1" si="23"/>
        <v>14.260002239418183</v>
      </c>
    </row>
    <row r="189" spans="1:15" outlineLevel="1" x14ac:dyDescent="0.25">
      <c r="A189" s="453">
        <v>1</v>
      </c>
      <c r="B189" s="821"/>
      <c r="C189" s="127" t="s">
        <v>702</v>
      </c>
      <c r="D189" s="127" t="str">
        <f t="shared" ca="1" si="19"/>
        <v>Mermet Vienne</v>
      </c>
      <c r="E189" s="128"/>
      <c r="F189" s="422">
        <v>0.53339999647956005</v>
      </c>
      <c r="G189" s="423">
        <v>352.61977337600001</v>
      </c>
      <c r="H189" s="420">
        <f t="shared" si="20"/>
        <v>2.0999999861400002E-2</v>
      </c>
      <c r="I189" s="419">
        <f t="shared" si="21"/>
        <v>10.400001633236263</v>
      </c>
      <c r="J189" s="126">
        <f t="shared" si="24"/>
        <v>0.35261977337600003</v>
      </c>
      <c r="L189" s="48">
        <f>IF(A189=0,$G$54,COUNTIF($L$109:L188,"&lt;"&amp;$G$54)+1)</f>
        <v>76</v>
      </c>
      <c r="M189" s="6" t="str">
        <f ca="1">IFERROR(INDEX($D$110:OFFSET($D$110,$D$107-1,0),MATCH(ROW()-ROW($L$109),$L$110:OFFSET($L$110,$D$107-1,0),0)),"")</f>
        <v>Phifer, SheerWeave Style 2100</v>
      </c>
      <c r="N189" s="420">
        <f t="shared" ca="1" si="22"/>
        <v>1.9999999867999999E-2</v>
      </c>
      <c r="O189" s="419">
        <f t="shared" ca="1" si="23"/>
        <v>12.40000194732016</v>
      </c>
    </row>
    <row r="190" spans="1:15" outlineLevel="1" x14ac:dyDescent="0.25">
      <c r="A190" s="453">
        <v>1</v>
      </c>
      <c r="B190" s="821"/>
      <c r="C190" s="127" t="s">
        <v>703</v>
      </c>
      <c r="D190" s="127" t="str">
        <f t="shared" ca="1" si="19"/>
        <v>Phifer, SheerWeave Linen</v>
      </c>
      <c r="E190" s="128"/>
      <c r="F190" s="422">
        <v>0.68579999547371995</v>
      </c>
      <c r="G190" s="423">
        <v>501.80506211200003</v>
      </c>
      <c r="H190" s="420">
        <f t="shared" si="20"/>
        <v>2.69999998218E-2</v>
      </c>
      <c r="I190" s="419">
        <f t="shared" si="21"/>
        <v>14.800002324220836</v>
      </c>
      <c r="J190" s="126">
        <f t="shared" si="24"/>
        <v>0.50180506211200004</v>
      </c>
      <c r="L190" s="48">
        <f>IF(A190=0,$G$54,COUNTIF($L$109:L189,"&lt;"&amp;$G$54)+1)</f>
        <v>77</v>
      </c>
      <c r="M190" s="6" t="str">
        <f ca="1">IFERROR(INDEX($D$110:OFFSET($D$110,$D$107-1,0),MATCH(ROW()-ROW($L$109),$L$110:OFFSET($L$110,$D$107-1,0),0)),"")</f>
        <v>Phifer, SheerWeave Style 2360</v>
      </c>
      <c r="N190" s="420">
        <f t="shared" ca="1" si="22"/>
        <v>1.6999999887800002E-2</v>
      </c>
      <c r="O190" s="419">
        <f t="shared" ca="1" si="23"/>
        <v>10.500001648940458</v>
      </c>
    </row>
    <row r="191" spans="1:15" outlineLevel="1" x14ac:dyDescent="0.25">
      <c r="A191" s="453">
        <v>1</v>
      </c>
      <c r="B191" s="821"/>
      <c r="C191" s="127" t="s">
        <v>704</v>
      </c>
      <c r="D191" s="127" t="str">
        <f t="shared" ca="1" si="19"/>
        <v>Phifer, SheerWeave Style 1000</v>
      </c>
      <c r="E191" s="128"/>
      <c r="F191" s="422">
        <v>0.50799999664719997</v>
      </c>
      <c r="G191" s="423">
        <v>298.37057747200004</v>
      </c>
      <c r="H191" s="420">
        <f t="shared" si="20"/>
        <v>1.9999999867999999E-2</v>
      </c>
      <c r="I191" s="419">
        <f t="shared" si="21"/>
        <v>8.8000013819691461</v>
      </c>
      <c r="J191" s="126">
        <f t="shared" si="24"/>
        <v>0.29837057747200002</v>
      </c>
      <c r="L191" s="48">
        <f>IF(A191=0,$G$54,COUNTIF($L$109:L190,"&lt;"&amp;$G$54)+1)</f>
        <v>78</v>
      </c>
      <c r="M191" s="6" t="str">
        <f ca="1">IFERROR(INDEX($D$110:OFFSET($D$110,$D$107-1,0),MATCH(ROW()-ROW($L$109),$L$110:OFFSET($L$110,$D$107-1,0),0)),"")</f>
        <v>Phifer, SheerWeave Style 2390</v>
      </c>
      <c r="N191" s="420">
        <f t="shared" ca="1" si="22"/>
        <v>1.6999999887800002E-2</v>
      </c>
      <c r="O191" s="419">
        <f t="shared" ca="1" si="23"/>
        <v>11.900001868799185</v>
      </c>
    </row>
    <row r="192" spans="1:15" outlineLevel="1" x14ac:dyDescent="0.25">
      <c r="A192" s="453">
        <v>1</v>
      </c>
      <c r="B192" s="821"/>
      <c r="C192" s="127" t="s">
        <v>705</v>
      </c>
      <c r="D192" s="127" t="str">
        <f t="shared" ca="1" si="19"/>
        <v>Phifer, SheerWeave Style 2000</v>
      </c>
      <c r="E192" s="128"/>
      <c r="F192" s="422">
        <v>0.48259999681484</v>
      </c>
      <c r="G192" s="423">
        <v>483.49595849439999</v>
      </c>
      <c r="H192" s="420">
        <f t="shared" si="20"/>
        <v>1.89999998746E-2</v>
      </c>
      <c r="I192" s="419">
        <f t="shared" si="21"/>
        <v>14.260002239418183</v>
      </c>
      <c r="J192" s="126">
        <f t="shared" si="24"/>
        <v>0.48349595849439997</v>
      </c>
      <c r="L192" s="48">
        <f>IF(A192=0,$G$54,COUNTIF($L$109:L191,"&lt;"&amp;$G$54)+1)</f>
        <v>79</v>
      </c>
      <c r="M192" s="6" t="str">
        <f ca="1">IFERROR(INDEX($D$110:OFFSET($D$110,$D$107-1,0),MATCH(ROW()-ROW($L$109),$L$110:OFFSET($L$110,$D$107-1,0),0)),"")</f>
        <v>Phifer, SheerWeave Style 2410</v>
      </c>
      <c r="N192" s="420">
        <f t="shared" ca="1" si="22"/>
        <v>1.89999998746E-2</v>
      </c>
      <c r="O192" s="419">
        <f t="shared" ca="1" si="23"/>
        <v>13.900002182883082</v>
      </c>
    </row>
    <row r="193" spans="1:15" outlineLevel="1" x14ac:dyDescent="0.25">
      <c r="A193" s="453">
        <v>1</v>
      </c>
      <c r="B193" s="821"/>
      <c r="C193" s="127" t="s">
        <v>706</v>
      </c>
      <c r="D193" s="127" t="str">
        <f t="shared" ca="1" si="19"/>
        <v>Phifer, SheerWeave Style 2100</v>
      </c>
      <c r="E193" s="128"/>
      <c r="F193" s="422">
        <v>0.50799999664719997</v>
      </c>
      <c r="G193" s="423">
        <v>420.43126825600001</v>
      </c>
      <c r="H193" s="420">
        <f t="shared" si="20"/>
        <v>1.9999999867999999E-2</v>
      </c>
      <c r="I193" s="419">
        <f t="shared" si="21"/>
        <v>12.40000194732016</v>
      </c>
      <c r="J193" s="126">
        <f t="shared" si="24"/>
        <v>0.42043126825600002</v>
      </c>
      <c r="L193" s="48">
        <f>IF(A193=0,$G$54,COUNTIF($L$109:L192,"&lt;"&amp;$G$54)+1)</f>
        <v>80</v>
      </c>
      <c r="M193" s="6" t="str">
        <f ca="1">IFERROR(INDEX($D$110:OFFSET($D$110,$D$107-1,0),MATCH(ROW()-ROW($L$109),$L$110:OFFSET($L$110,$D$107-1,0),0)),"")</f>
        <v>Phifer, SheerWeave Style 2500</v>
      </c>
      <c r="N193" s="420">
        <f t="shared" ca="1" si="22"/>
        <v>2.3999999841600003E-2</v>
      </c>
      <c r="O193" s="419">
        <f t="shared" ca="1" si="23"/>
        <v>16.10000252837537</v>
      </c>
    </row>
    <row r="194" spans="1:15" outlineLevel="1" x14ac:dyDescent="0.25">
      <c r="A194" s="453">
        <v>1</v>
      </c>
      <c r="B194" s="821"/>
      <c r="C194" s="127" t="s">
        <v>707</v>
      </c>
      <c r="D194" s="127" t="str">
        <f t="shared" ca="1" si="19"/>
        <v>Phifer, SheerWeave Style 2360</v>
      </c>
      <c r="E194" s="128"/>
      <c r="F194" s="422">
        <v>0.43179999715012002</v>
      </c>
      <c r="G194" s="423">
        <v>356.01034812</v>
      </c>
      <c r="H194" s="420">
        <f t="shared" si="20"/>
        <v>1.6999999887800002E-2</v>
      </c>
      <c r="I194" s="419">
        <f t="shared" si="21"/>
        <v>10.500001648940458</v>
      </c>
      <c r="J194" s="126">
        <f t="shared" si="24"/>
        <v>0.35601034811999999</v>
      </c>
      <c r="L194" s="48">
        <f>IF(A194=0,$G$54,COUNTIF($L$109:L193,"&lt;"&amp;$G$54)+1)</f>
        <v>81</v>
      </c>
      <c r="M194" s="6" t="str">
        <f ca="1">IFERROR(INDEX($D$110:OFFSET($D$110,$D$107-1,0),MATCH(ROW()-ROW($L$109),$L$110:OFFSET($L$110,$D$107-1,0),0)),"")</f>
        <v>Phifer, SheerWeave Style 2701</v>
      </c>
      <c r="N194" s="420">
        <f t="shared" ca="1" si="22"/>
        <v>2.69999998218E-2</v>
      </c>
      <c r="O194" s="419">
        <f t="shared" ca="1" si="23"/>
        <v>14.600002292812444</v>
      </c>
    </row>
    <row r="195" spans="1:15" outlineLevel="1" x14ac:dyDescent="0.25">
      <c r="A195" s="453">
        <v>1</v>
      </c>
      <c r="B195" s="821"/>
      <c r="C195" s="127" t="s">
        <v>708</v>
      </c>
      <c r="D195" s="127" t="str">
        <f t="shared" ca="1" si="19"/>
        <v>Phifer, SheerWeave Style 2390</v>
      </c>
      <c r="E195" s="128"/>
      <c r="F195" s="422">
        <v>0.43179999715012002</v>
      </c>
      <c r="G195" s="423">
        <v>403.478394536</v>
      </c>
      <c r="H195" s="420">
        <f t="shared" si="20"/>
        <v>1.6999999887800002E-2</v>
      </c>
      <c r="I195" s="419">
        <f t="shared" si="21"/>
        <v>11.900001868799185</v>
      </c>
      <c r="J195" s="126">
        <f t="shared" si="24"/>
        <v>0.40347839453599998</v>
      </c>
      <c r="L195" s="48">
        <f>IF(A195=0,$G$54,COUNTIF($L$109:L194,"&lt;"&amp;$G$54)+1)</f>
        <v>82</v>
      </c>
      <c r="M195" s="6" t="str">
        <f ca="1">IFERROR(INDEX($D$110:OFFSET($D$110,$D$107-1,0),MATCH(ROW()-ROW($L$109),$L$110:OFFSET($L$110,$D$107-1,0),0)),"")</f>
        <v>Phifer, SheerWeave Style 2703</v>
      </c>
      <c r="N195" s="420">
        <f t="shared" ca="1" si="22"/>
        <v>2.7999999815200002E-2</v>
      </c>
      <c r="O195" s="419">
        <f t="shared" ca="1" si="23"/>
        <v>14.000002198587277</v>
      </c>
    </row>
    <row r="196" spans="1:15" outlineLevel="1" x14ac:dyDescent="0.25">
      <c r="A196" s="453">
        <v>1</v>
      </c>
      <c r="B196" s="821"/>
      <c r="C196" s="127" t="s">
        <v>709</v>
      </c>
      <c r="D196" s="127" t="str">
        <f t="shared" ca="1" si="19"/>
        <v>Phifer, SheerWeave Style 2410</v>
      </c>
      <c r="E196" s="128"/>
      <c r="F196" s="422">
        <v>0.48259999681484</v>
      </c>
      <c r="G196" s="423">
        <v>471.28988941599999</v>
      </c>
      <c r="H196" s="420">
        <f t="shared" si="20"/>
        <v>1.89999998746E-2</v>
      </c>
      <c r="I196" s="419">
        <f t="shared" si="21"/>
        <v>13.900002182883082</v>
      </c>
      <c r="J196" s="126">
        <f t="shared" si="24"/>
        <v>0.47128988941599997</v>
      </c>
      <c r="L196" s="48">
        <f>IF(A196=0,$G$54,COUNTIF($L$109:L195,"&lt;"&amp;$G$54)+1)</f>
        <v>83</v>
      </c>
      <c r="M196" s="6" t="str">
        <f ca="1">IFERROR(INDEX($D$110:OFFSET($D$110,$D$107-1,0),MATCH(ROW()-ROW($L$109),$L$110:OFFSET($L$110,$D$107-1,0),0)),"")</f>
        <v>Phifer, SheerWeave Style 2705</v>
      </c>
      <c r="N196" s="420">
        <f t="shared" ca="1" si="22"/>
        <v>2.4999999835000002E-2</v>
      </c>
      <c r="O196" s="419">
        <f t="shared" ca="1" si="23"/>
        <v>11.80000185309499</v>
      </c>
    </row>
    <row r="197" spans="1:15" outlineLevel="1" x14ac:dyDescent="0.25">
      <c r="A197" s="453">
        <v>1</v>
      </c>
      <c r="B197" s="821"/>
      <c r="C197" s="127" t="s">
        <v>710</v>
      </c>
      <c r="D197" s="127" t="str">
        <f t="shared" ca="1" si="19"/>
        <v>Phifer, SheerWeave Style 2500</v>
      </c>
      <c r="E197" s="128"/>
      <c r="F197" s="422">
        <v>0.60959999597664005</v>
      </c>
      <c r="G197" s="423">
        <v>545.88253378400009</v>
      </c>
      <c r="H197" s="420">
        <f t="shared" si="20"/>
        <v>2.3999999841600003E-2</v>
      </c>
      <c r="I197" s="419">
        <f t="shared" si="21"/>
        <v>16.10000252837537</v>
      </c>
      <c r="J197" s="126">
        <f t="shared" si="24"/>
        <v>0.54588253378400009</v>
      </c>
      <c r="L197" s="48">
        <f>IF(A197=0,$G$54,COUNTIF($L$109:L196,"&lt;"&amp;$G$54)+1)</f>
        <v>84</v>
      </c>
      <c r="M197" s="6" t="str">
        <f ca="1">IFERROR(INDEX($D$110:OFFSET($D$110,$D$107-1,0),MATCH(ROW()-ROW($L$109),$L$110:OFFSET($L$110,$D$107-1,0),0)),"")</f>
        <v>Phifer, SheerWeave Style 2710</v>
      </c>
      <c r="N197" s="420">
        <f t="shared" ca="1" si="22"/>
        <v>2.4999999835000002E-2</v>
      </c>
      <c r="O197" s="419">
        <f t="shared" ca="1" si="23"/>
        <v>10.400001633236263</v>
      </c>
    </row>
    <row r="198" spans="1:15" outlineLevel="1" x14ac:dyDescent="0.25">
      <c r="A198" s="453">
        <v>1</v>
      </c>
      <c r="B198" s="821"/>
      <c r="C198" s="127" t="s">
        <v>711</v>
      </c>
      <c r="D198" s="127" t="str">
        <f t="shared" ca="1" si="19"/>
        <v>Phifer, SheerWeave Style 2701</v>
      </c>
      <c r="E198" s="128"/>
      <c r="F198" s="422">
        <v>0.68579999547371995</v>
      </c>
      <c r="G198" s="423">
        <v>495.02391262399999</v>
      </c>
      <c r="H198" s="420">
        <f t="shared" si="20"/>
        <v>2.69999998218E-2</v>
      </c>
      <c r="I198" s="419">
        <f t="shared" si="21"/>
        <v>14.600002292812444</v>
      </c>
      <c r="J198" s="126">
        <f t="shared" si="24"/>
        <v>0.49502391262399997</v>
      </c>
      <c r="L198" s="48">
        <f>IF(A198=0,$G$54,COUNTIF($L$109:L197,"&lt;"&amp;$G$54)+1)</f>
        <v>85</v>
      </c>
      <c r="M198" s="6" t="str">
        <f ca="1">IFERROR(INDEX($D$110:OFFSET($D$110,$D$107-1,0),MATCH(ROW()-ROW($L$109),$L$110:OFFSET($L$110,$D$107-1,0),0)),"")</f>
        <v>Phifer, SheerWeave Style 3000</v>
      </c>
      <c r="N198" s="420">
        <f t="shared" ca="1" si="22"/>
        <v>2.7999999815200002E-2</v>
      </c>
      <c r="O198" s="419">
        <f t="shared" ca="1" si="23"/>
        <v>13.460002113784626</v>
      </c>
    </row>
    <row r="199" spans="1:15" outlineLevel="1" x14ac:dyDescent="0.25">
      <c r="A199" s="453">
        <v>1</v>
      </c>
      <c r="B199" s="821"/>
      <c r="C199" s="127" t="s">
        <v>712</v>
      </c>
      <c r="D199" s="127" t="str">
        <f t="shared" ca="1" si="19"/>
        <v>Phifer, SheerWeave Style 2703</v>
      </c>
      <c r="E199" s="128"/>
      <c r="F199" s="422">
        <v>0.71119999530608002</v>
      </c>
      <c r="G199" s="423">
        <v>474.68046415999999</v>
      </c>
      <c r="H199" s="420">
        <f t="shared" si="20"/>
        <v>2.7999999815200002E-2</v>
      </c>
      <c r="I199" s="419">
        <f t="shared" si="21"/>
        <v>14.000002198587277</v>
      </c>
      <c r="J199" s="126">
        <f t="shared" si="24"/>
        <v>0.47468046415999998</v>
      </c>
      <c r="L199" s="48">
        <f>IF(A199=0,$G$54,COUNTIF($L$109:L198,"&lt;"&amp;$G$54)+1)</f>
        <v>86</v>
      </c>
      <c r="M199" s="6" t="str">
        <f ca="1">IFERROR(INDEX($D$110:OFFSET($D$110,$D$107-1,0),MATCH(ROW()-ROW($L$109),$L$110:OFFSET($L$110,$D$107-1,0),0)),"")</f>
        <v>Phifer, SheerWeave Style 4000</v>
      </c>
      <c r="N199" s="420">
        <f t="shared" ca="1" si="22"/>
        <v>3.5999999762400002E-2</v>
      </c>
      <c r="O199" s="419">
        <f t="shared" ca="1" si="23"/>
        <v>19.200003015205407</v>
      </c>
    </row>
    <row r="200" spans="1:15" outlineLevel="1" x14ac:dyDescent="0.25">
      <c r="A200" s="453">
        <v>1</v>
      </c>
      <c r="B200" s="821"/>
      <c r="C200" s="127" t="s">
        <v>713</v>
      </c>
      <c r="D200" s="127" t="str">
        <f t="shared" ca="1" si="19"/>
        <v>Phifer, SheerWeave Style 2705</v>
      </c>
      <c r="E200" s="128"/>
      <c r="F200" s="422">
        <v>0.63499999580900002</v>
      </c>
      <c r="G200" s="423">
        <v>400.087819792</v>
      </c>
      <c r="H200" s="420">
        <f t="shared" si="20"/>
        <v>2.4999999835000002E-2</v>
      </c>
      <c r="I200" s="419">
        <f t="shared" si="21"/>
        <v>11.80000185309499</v>
      </c>
      <c r="J200" s="126">
        <f t="shared" si="24"/>
        <v>0.40008781979200003</v>
      </c>
      <c r="L200" s="48">
        <f>IF(A200=0,$G$54,COUNTIF($L$109:L199,"&lt;"&amp;$G$54)+1)</f>
        <v>87</v>
      </c>
      <c r="M200" s="6" t="str">
        <f ca="1">IFERROR(INDEX($D$110:OFFSET($D$110,$D$107-1,0),MATCH(ROW()-ROW($L$109),$L$110:OFFSET($L$110,$D$107-1,0),0)),"")</f>
        <v>Phifer, SheerWeave Style 4100</v>
      </c>
      <c r="N200" s="420">
        <f t="shared" ca="1" si="22"/>
        <v>3.4999999769000006E-2</v>
      </c>
      <c r="O200" s="419">
        <f t="shared" ca="1" si="23"/>
        <v>17.500002748234095</v>
      </c>
    </row>
    <row r="201" spans="1:15" outlineLevel="1" x14ac:dyDescent="0.25">
      <c r="A201" s="453">
        <v>1</v>
      </c>
      <c r="B201" s="821"/>
      <c r="C201" s="127" t="s">
        <v>714</v>
      </c>
      <c r="D201" s="127" t="str">
        <f t="shared" ca="1" si="19"/>
        <v>Phifer, SheerWeave Style 2710</v>
      </c>
      <c r="E201" s="128"/>
      <c r="F201" s="422">
        <v>0.63499999580900002</v>
      </c>
      <c r="G201" s="423">
        <v>352.61977337600001</v>
      </c>
      <c r="H201" s="420">
        <f t="shared" si="20"/>
        <v>2.4999999835000002E-2</v>
      </c>
      <c r="I201" s="419">
        <f t="shared" si="21"/>
        <v>10.400001633236263</v>
      </c>
      <c r="J201" s="126">
        <f t="shared" si="24"/>
        <v>0.35261977337600003</v>
      </c>
      <c r="L201" s="48">
        <f>IF(A201=0,$G$54,COUNTIF($L$109:L200,"&lt;"&amp;$G$54)+1)</f>
        <v>88</v>
      </c>
      <c r="M201" s="6" t="str">
        <f ca="1">IFERROR(INDEX($D$110:OFFSET($D$110,$D$107-1,0),MATCH(ROW()-ROW($L$109),$L$110:OFFSET($L$110,$D$107-1,0),0)),"")</f>
        <v>Phifer, SheerWeave Style 4400</v>
      </c>
      <c r="N201" s="420">
        <f t="shared" ca="1" si="22"/>
        <v>3.6999999755799998E-2</v>
      </c>
      <c r="O201" s="419">
        <f t="shared" ca="1" si="23"/>
        <v>20.700003250768329</v>
      </c>
    </row>
    <row r="202" spans="1:15" outlineLevel="1" x14ac:dyDescent="0.25">
      <c r="A202" s="453">
        <v>1</v>
      </c>
      <c r="B202" s="821"/>
      <c r="C202" s="127" t="s">
        <v>715</v>
      </c>
      <c r="D202" s="127" t="str">
        <f t="shared" ca="1" si="19"/>
        <v>Phifer, SheerWeave Style 3000</v>
      </c>
      <c r="E202" s="128"/>
      <c r="F202" s="422">
        <v>0.71119999530608002</v>
      </c>
      <c r="G202" s="423">
        <v>456.37136054240005</v>
      </c>
      <c r="H202" s="420">
        <f t="shared" si="20"/>
        <v>2.7999999815200002E-2</v>
      </c>
      <c r="I202" s="419">
        <f t="shared" si="21"/>
        <v>13.460002113784626</v>
      </c>
      <c r="J202" s="126">
        <f t="shared" si="24"/>
        <v>0.45637136054240007</v>
      </c>
      <c r="L202" s="48">
        <f>IF(A202=0,$G$54,COUNTIF($L$109:L201,"&lt;"&amp;$G$54)+1)</f>
        <v>89</v>
      </c>
      <c r="M202" s="6" t="str">
        <f ca="1">IFERROR(INDEX($D$110:OFFSET($D$110,$D$107-1,0),MATCH(ROW()-ROW($L$109),$L$110:OFFSET($L$110,$D$107-1,0),0)),"")</f>
        <v>Phifer, SheerWeave Style 4500</v>
      </c>
      <c r="N202" s="420">
        <f t="shared" ca="1" si="22"/>
        <v>2.3999999841600003E-2</v>
      </c>
      <c r="O202" s="419">
        <f t="shared" ca="1" si="23"/>
        <v>14.400002261404056</v>
      </c>
    </row>
    <row r="203" spans="1:15" outlineLevel="1" x14ac:dyDescent="0.25">
      <c r="A203" s="453">
        <v>1</v>
      </c>
      <c r="B203" s="821"/>
      <c r="C203" s="127" t="s">
        <v>716</v>
      </c>
      <c r="D203" s="127" t="str">
        <f t="shared" ca="1" si="19"/>
        <v>Phifer, SheerWeave Style 4000</v>
      </c>
      <c r="E203" s="128"/>
      <c r="F203" s="422">
        <v>0.91439999396495997</v>
      </c>
      <c r="G203" s="423">
        <v>650.99035084799993</v>
      </c>
      <c r="H203" s="420">
        <f t="shared" si="20"/>
        <v>3.5999999762400002E-2</v>
      </c>
      <c r="I203" s="419">
        <f t="shared" si="21"/>
        <v>19.200003015205407</v>
      </c>
      <c r="J203" s="126">
        <f t="shared" si="24"/>
        <v>0.65099035084799994</v>
      </c>
      <c r="L203" s="48">
        <f>IF(A203=0,$G$54,COUNTIF($L$109:L202,"&lt;"&amp;$G$54)+1)</f>
        <v>90</v>
      </c>
      <c r="M203" s="6" t="str">
        <f ca="1">IFERROR(INDEX($D$110:OFFSET($D$110,$D$107-1,0),MATCH(ROW()-ROW($L$109),$L$110:OFFSET($L$110,$D$107-1,0),0)),"")</f>
        <v>Phifer, SheerWeave Style 4550</v>
      </c>
      <c r="N203" s="420">
        <f t="shared" ca="1" si="22"/>
        <v>2.4999999835000002E-2</v>
      </c>
      <c r="O203" s="419">
        <f t="shared" ca="1" si="23"/>
        <v>12.500001963024355</v>
      </c>
    </row>
    <row r="204" spans="1:15" outlineLevel="1" x14ac:dyDescent="0.25">
      <c r="A204" s="453">
        <v>1</v>
      </c>
      <c r="B204" s="821"/>
      <c r="C204" s="127" t="s">
        <v>717</v>
      </c>
      <c r="D204" s="127" t="str">
        <f t="shared" ca="1" si="19"/>
        <v>Phifer, SheerWeave Style 4100</v>
      </c>
      <c r="E204" s="128"/>
      <c r="F204" s="422">
        <v>0.88899999413260011</v>
      </c>
      <c r="G204" s="423">
        <v>593.35058019999997</v>
      </c>
      <c r="H204" s="420">
        <f t="shared" si="20"/>
        <v>3.4999999769000006E-2</v>
      </c>
      <c r="I204" s="419">
        <f t="shared" si="21"/>
        <v>17.500002748234095</v>
      </c>
      <c r="J204" s="126">
        <f t="shared" si="24"/>
        <v>0.59335058019999998</v>
      </c>
      <c r="L204" s="48">
        <f>IF(A204=0,$G$54,COUNTIF($L$109:L203,"&lt;"&amp;$G$54)+1)</f>
        <v>91</v>
      </c>
      <c r="M204" s="6" t="str">
        <f ca="1">IFERROR(INDEX($D$110:OFFSET($D$110,$D$107-1,0),MATCH(ROW()-ROW($L$109),$L$110:OFFSET($L$110,$D$107-1,0),0)),"")</f>
        <v>Phifer, SheerWeave Style 4600</v>
      </c>
      <c r="N204" s="420">
        <f t="shared" ca="1" si="22"/>
        <v>2.9999999802000001E-2</v>
      </c>
      <c r="O204" s="419">
        <f t="shared" ca="1" si="23"/>
        <v>17.400002732529899</v>
      </c>
    </row>
    <row r="205" spans="1:15" outlineLevel="1" x14ac:dyDescent="0.25">
      <c r="A205" s="453">
        <v>1</v>
      </c>
      <c r="B205" s="821"/>
      <c r="C205" s="127" t="s">
        <v>718</v>
      </c>
      <c r="D205" s="127" t="str">
        <f t="shared" ca="1" si="19"/>
        <v>Phifer, SheerWeave Style 4400</v>
      </c>
      <c r="E205" s="128"/>
      <c r="F205" s="422">
        <v>0.93979999379731993</v>
      </c>
      <c r="G205" s="423">
        <v>701.84897200800003</v>
      </c>
      <c r="H205" s="420">
        <f t="shared" si="20"/>
        <v>3.6999999755799998E-2</v>
      </c>
      <c r="I205" s="419">
        <f t="shared" si="21"/>
        <v>20.700003250768329</v>
      </c>
      <c r="J205" s="126">
        <f t="shared" si="24"/>
        <v>0.701848972008</v>
      </c>
      <c r="L205" s="48">
        <f>IF(A205=0,$G$54,COUNTIF($L$109:L204,"&lt;"&amp;$G$54)+1)</f>
        <v>92</v>
      </c>
      <c r="M205" s="6" t="str">
        <f ca="1">IFERROR(INDEX($D$110:OFFSET($D$110,$D$107-1,0),MATCH(ROW()-ROW($L$109),$L$110:OFFSET($L$110,$D$107-1,0),0)),"")</f>
        <v>Phifer, SheerWeave Style 4650</v>
      </c>
      <c r="N205" s="420">
        <f t="shared" ca="1" si="22"/>
        <v>2.5999999828400001E-2</v>
      </c>
      <c r="O205" s="419">
        <f t="shared" ca="1" si="23"/>
        <v>13.300002088657914</v>
      </c>
    </row>
    <row r="206" spans="1:15" outlineLevel="1" x14ac:dyDescent="0.25">
      <c r="A206" s="453">
        <v>1</v>
      </c>
      <c r="B206" s="821"/>
      <c r="C206" s="127" t="s">
        <v>719</v>
      </c>
      <c r="D206" s="127" t="str">
        <f t="shared" ref="D206:D229" ca="1" si="25">IFERROR(INDEX(Language_Dictionary,MATCH(C206,Language_Base,0),MATCH(Language_Selected,Language_available,0)), C206)</f>
        <v>Phifer, SheerWeave Style 4500</v>
      </c>
      <c r="E206" s="128"/>
      <c r="F206" s="422">
        <v>0.60959999597664005</v>
      </c>
      <c r="G206" s="423">
        <v>488.24276313600001</v>
      </c>
      <c r="H206" s="420">
        <f t="shared" ref="H206:H229" si="26">F206/conv_mm</f>
        <v>2.3999999841600003E-2</v>
      </c>
      <c r="I206" s="419">
        <f t="shared" ref="I206:I229" si="27">G206/conv_gsm</f>
        <v>14.400002261404056</v>
      </c>
      <c r="J206" s="126">
        <f t="shared" si="24"/>
        <v>0.48824276313600001</v>
      </c>
      <c r="L206" s="48">
        <f>IF(A206=0,$G$54,COUNTIF($L$109:L205,"&lt;"&amp;$G$54)+1)</f>
        <v>93</v>
      </c>
      <c r="M206" s="6" t="str">
        <f ca="1">IFERROR(INDEX($D$110:OFFSET($D$110,$D$107-1,0),MATCH(ROW()-ROW($L$109),$L$110:OFFSET($L$110,$D$107-1,0),0)),"")</f>
        <v>Phifer, SheerWeave Style 4700</v>
      </c>
      <c r="N206" s="420">
        <f t="shared" ref="N206:N229" ca="1" si="28">VLOOKUP(M206,fabric_lookup,5,FALSE)</f>
        <v>3.6999999755799998E-2</v>
      </c>
      <c r="O206" s="419">
        <f t="shared" ref="O206:O229" ca="1" si="29">VLOOKUP(M206,fabric_lookup,6,FALSE)</f>
        <v>16.400002575487949</v>
      </c>
    </row>
    <row r="207" spans="1:15" outlineLevel="1" x14ac:dyDescent="0.25">
      <c r="A207" s="453">
        <v>1</v>
      </c>
      <c r="B207" s="821"/>
      <c r="C207" s="127" t="s">
        <v>720</v>
      </c>
      <c r="D207" s="127" t="str">
        <f t="shared" ca="1" si="25"/>
        <v>Phifer, SheerWeave Style 4550</v>
      </c>
      <c r="E207" s="128"/>
      <c r="F207" s="422">
        <v>0.63499999580900002</v>
      </c>
      <c r="G207" s="423">
        <v>423.821843</v>
      </c>
      <c r="H207" s="420">
        <f t="shared" si="26"/>
        <v>2.4999999835000002E-2</v>
      </c>
      <c r="I207" s="419">
        <f t="shared" si="27"/>
        <v>12.500001963024355</v>
      </c>
      <c r="J207" s="126">
        <f t="shared" si="24"/>
        <v>0.42382184299999998</v>
      </c>
      <c r="L207" s="48">
        <f>IF(A207=0,$G$54,COUNTIF($L$109:L206,"&lt;"&amp;$G$54)+1)</f>
        <v>94</v>
      </c>
      <c r="M207" s="6" t="str">
        <f ca="1">IFERROR(INDEX($D$110:OFFSET($D$110,$D$107-1,0),MATCH(ROW()-ROW($L$109),$L$110:OFFSET($L$110,$D$107-1,0),0)),"")</f>
        <v>Phifer, SheerWeave Style 4800</v>
      </c>
      <c r="N207" s="420">
        <f t="shared" ca="1" si="28"/>
        <v>3.5999999762400002E-2</v>
      </c>
      <c r="O207" s="419">
        <f t="shared" ca="1" si="29"/>
        <v>18.500002905276045</v>
      </c>
    </row>
    <row r="208" spans="1:15" outlineLevel="1" x14ac:dyDescent="0.25">
      <c r="A208" s="453">
        <v>1</v>
      </c>
      <c r="B208" s="821"/>
      <c r="C208" s="127" t="s">
        <v>721</v>
      </c>
      <c r="D208" s="127" t="str">
        <f t="shared" ca="1" si="25"/>
        <v>Phifer, SheerWeave Style 4600</v>
      </c>
      <c r="E208" s="128"/>
      <c r="F208" s="422">
        <v>0.76199999497079995</v>
      </c>
      <c r="G208" s="423">
        <v>589.96000545599998</v>
      </c>
      <c r="H208" s="420">
        <f t="shared" si="26"/>
        <v>2.9999999802000001E-2</v>
      </c>
      <c r="I208" s="419">
        <f t="shared" si="27"/>
        <v>17.400002732529899</v>
      </c>
      <c r="J208" s="126">
        <f t="shared" si="24"/>
        <v>0.58996000545600003</v>
      </c>
      <c r="L208" s="48">
        <f>IF(A208=0,$G$54,COUNTIF($L$109:L207,"&lt;"&amp;$G$54)+1)</f>
        <v>95</v>
      </c>
      <c r="M208" s="6" t="str">
        <f ca="1">IFERROR(INDEX($D$110:OFFSET($D$110,$D$107-1,0),MATCH(ROW()-ROW($L$109),$L$110:OFFSET($L$110,$D$107-1,0),0)),"")</f>
        <v>Phifer, SheerWeave Style 5000: P59, P60, Q43</v>
      </c>
      <c r="N208" s="420">
        <f t="shared" ca="1" si="28"/>
        <v>3.79999997492E-2</v>
      </c>
      <c r="O208" s="419">
        <f t="shared" ca="1" si="29"/>
        <v>14.500002277108251</v>
      </c>
    </row>
    <row r="209" spans="1:15" outlineLevel="1" x14ac:dyDescent="0.25">
      <c r="A209" s="453">
        <v>1</v>
      </c>
      <c r="B209" s="821"/>
      <c r="C209" s="127" t="s">
        <v>722</v>
      </c>
      <c r="D209" s="127" t="str">
        <f t="shared" ca="1" si="25"/>
        <v>Phifer, SheerWeave Style 4650</v>
      </c>
      <c r="E209" s="128"/>
      <c r="F209" s="422">
        <v>0.66039999564135998</v>
      </c>
      <c r="G209" s="423">
        <v>450.94644095200005</v>
      </c>
      <c r="H209" s="420">
        <f t="shared" si="26"/>
        <v>2.5999999828400001E-2</v>
      </c>
      <c r="I209" s="419">
        <f t="shared" si="27"/>
        <v>13.300002088657914</v>
      </c>
      <c r="J209" s="126">
        <f t="shared" si="24"/>
        <v>0.45094644095200004</v>
      </c>
      <c r="L209" s="48">
        <f>IF(A209=0,$G$54,COUNTIF($L$109:L208,"&lt;"&amp;$G$54)+1)</f>
        <v>96</v>
      </c>
      <c r="M209" s="6" t="str">
        <f ca="1">IFERROR(INDEX($D$110:OFFSET($D$110,$D$107-1,0),MATCH(ROW()-ROW($L$109),$L$110:OFFSET($L$110,$D$107-1,0),0)),"")</f>
        <v>Phifer, SheerWeave Style 5000: Q45, Q47, Q48</v>
      </c>
      <c r="N209" s="420">
        <f t="shared" ca="1" si="28"/>
        <v>3.4999999769000006E-2</v>
      </c>
      <c r="O209" s="419">
        <f t="shared" ca="1" si="29"/>
        <v>12.300001931615965</v>
      </c>
    </row>
    <row r="210" spans="1:15" outlineLevel="1" x14ac:dyDescent="0.25">
      <c r="A210" s="453">
        <v>1</v>
      </c>
      <c r="B210" s="821"/>
      <c r="C210" s="127" t="s">
        <v>723</v>
      </c>
      <c r="D210" s="127" t="str">
        <f t="shared" ca="1" si="25"/>
        <v>Phifer, SheerWeave Style 4700</v>
      </c>
      <c r="E210" s="128"/>
      <c r="F210" s="422">
        <v>0.93979999379731993</v>
      </c>
      <c r="G210" s="423">
        <v>556.05425801599995</v>
      </c>
      <c r="H210" s="420">
        <f t="shared" si="26"/>
        <v>3.6999999755799998E-2</v>
      </c>
      <c r="I210" s="419">
        <f t="shared" si="27"/>
        <v>16.400002575487949</v>
      </c>
      <c r="J210" s="126">
        <f t="shared" si="24"/>
        <v>0.55605425801599995</v>
      </c>
      <c r="L210" s="48">
        <f>IF(A210=0,$G$54,COUNTIF($L$109:L209,"&lt;"&amp;$G$54)+1)</f>
        <v>97</v>
      </c>
      <c r="M210" s="6" t="str">
        <f ca="1">IFERROR(INDEX($D$110:OFFSET($D$110,$D$107-1,0),MATCH(ROW()-ROW($L$109),$L$110:OFFSET($L$110,$D$107-1,0),0)),"")</f>
        <v>Phifer, SheerWeave Style 5000: Q46, Q49, Q50, Q51</v>
      </c>
      <c r="N210" s="420">
        <f t="shared" ca="1" si="28"/>
        <v>4.3999999709600002E-2</v>
      </c>
      <c r="O210" s="419">
        <f t="shared" ca="1" si="29"/>
        <v>14.300002245699861</v>
      </c>
    </row>
    <row r="211" spans="1:15" outlineLevel="1" x14ac:dyDescent="0.25">
      <c r="A211" s="453">
        <v>1</v>
      </c>
      <c r="B211" s="821"/>
      <c r="C211" s="127" t="s">
        <v>724</v>
      </c>
      <c r="D211" s="127" t="str">
        <f t="shared" ca="1" si="25"/>
        <v>Phifer, SheerWeave Style 4800</v>
      </c>
      <c r="E211" s="128"/>
      <c r="F211" s="422">
        <v>0.91439999396495997</v>
      </c>
      <c r="G211" s="423">
        <v>627.25632763999999</v>
      </c>
      <c r="H211" s="420">
        <f t="shared" si="26"/>
        <v>3.5999999762400002E-2</v>
      </c>
      <c r="I211" s="419">
        <f t="shared" si="27"/>
        <v>18.500002905276045</v>
      </c>
      <c r="J211" s="126">
        <f t="shared" si="24"/>
        <v>0.62725632763999994</v>
      </c>
      <c r="L211" s="48">
        <f>IF(A211=0,$G$54,COUNTIF($L$109:L210,"&lt;"&amp;$G$54)+1)</f>
        <v>98</v>
      </c>
      <c r="M211" s="6" t="str">
        <f ca="1">IFERROR(INDEX($D$110:OFFSET($D$110,$D$107-1,0),MATCH(ROW()-ROW($L$109),$L$110:OFFSET($L$110,$D$107-1,0),0)),"")</f>
        <v xml:space="preserve">Phifer, SheerWeave Style 5000: Q52, </v>
      </c>
      <c r="N211" s="420">
        <f t="shared" ca="1" si="28"/>
        <v>3.6999999755799998E-2</v>
      </c>
      <c r="O211" s="419">
        <f t="shared" ca="1" si="29"/>
        <v>12.800002010136939</v>
      </c>
    </row>
    <row r="212" spans="1:15" outlineLevel="1" x14ac:dyDescent="0.25">
      <c r="A212" s="453">
        <v>1</v>
      </c>
      <c r="B212" s="821"/>
      <c r="C212" s="127" t="s">
        <v>725</v>
      </c>
      <c r="D212" s="127" t="str">
        <f t="shared" ca="1" si="25"/>
        <v>Phifer, SheerWeave Style 5000: P59, P60, Q43</v>
      </c>
      <c r="E212" s="128"/>
      <c r="F212" s="422">
        <v>0.96519999362968001</v>
      </c>
      <c r="G212" s="423">
        <v>491.63333788</v>
      </c>
      <c r="H212" s="420">
        <f t="shared" si="26"/>
        <v>3.79999997492E-2</v>
      </c>
      <c r="I212" s="419">
        <f t="shared" si="27"/>
        <v>14.500002277108251</v>
      </c>
      <c r="J212" s="126">
        <f t="shared" si="24"/>
        <v>0.49163333788000002</v>
      </c>
      <c r="L212" s="48">
        <f>IF(A212=0,$G$54,COUNTIF($L$109:L211,"&lt;"&amp;$G$54)+1)</f>
        <v>99</v>
      </c>
      <c r="M212" s="6" t="str">
        <f ca="1">IFERROR(INDEX($D$110:OFFSET($D$110,$D$107-1,0),MATCH(ROW()-ROW($L$109),$L$110:OFFSET($L$110,$D$107-1,0),0)),"")</f>
        <v>Phifer, SheerWeave Style 5000: Q53</v>
      </c>
      <c r="N212" s="420">
        <f t="shared" ca="1" si="28"/>
        <v>3.6999999755799998E-2</v>
      </c>
      <c r="O212" s="419">
        <f t="shared" ca="1" si="29"/>
        <v>13.000002041545329</v>
      </c>
    </row>
    <row r="213" spans="1:15" outlineLevel="1" x14ac:dyDescent="0.25">
      <c r="A213" s="453">
        <v>1</v>
      </c>
      <c r="B213" s="821"/>
      <c r="C213" s="127" t="s">
        <v>726</v>
      </c>
      <c r="D213" s="127" t="str">
        <f t="shared" ca="1" si="25"/>
        <v>Phifer, SheerWeave Style 5000: Q45, Q47, Q48</v>
      </c>
      <c r="E213" s="128"/>
      <c r="F213" s="422">
        <v>0.88899999413260011</v>
      </c>
      <c r="G213" s="423">
        <v>417.04069351200002</v>
      </c>
      <c r="H213" s="420">
        <f t="shared" si="26"/>
        <v>3.4999999769000006E-2</v>
      </c>
      <c r="I213" s="419">
        <f t="shared" si="27"/>
        <v>12.300001931615965</v>
      </c>
      <c r="J213" s="126">
        <f t="shared" si="24"/>
        <v>0.41704069351200002</v>
      </c>
      <c r="L213" s="48">
        <f>IF(A213=0,$G$54,COUNTIF($L$109:L212,"&lt;"&amp;$G$54)+1)</f>
        <v>100</v>
      </c>
      <c r="M213" s="6" t="str">
        <f ca="1">IFERROR(INDEX($D$110:OFFSET($D$110,$D$107-1,0),MATCH(ROW()-ROW($L$109),$L$110:OFFSET($L$110,$D$107-1,0),0)),"")</f>
        <v>Phifer, SheerWeave Style 5000: Q93</v>
      </c>
      <c r="N213" s="420">
        <f t="shared" ca="1" si="28"/>
        <v>3.1999999788799999E-2</v>
      </c>
      <c r="O213" s="419">
        <f t="shared" ca="1" si="29"/>
        <v>12.40000194732016</v>
      </c>
    </row>
    <row r="214" spans="1:15" outlineLevel="1" x14ac:dyDescent="0.25">
      <c r="A214" s="453">
        <v>1</v>
      </c>
      <c r="B214" s="821"/>
      <c r="C214" s="127" t="s">
        <v>727</v>
      </c>
      <c r="D214" s="127" t="str">
        <f t="shared" ca="1" si="25"/>
        <v>Phifer, SheerWeave Style 5000: Q46, Q49, Q50, Q51</v>
      </c>
      <c r="E214" s="128"/>
      <c r="F214" s="422">
        <v>1.11759999262384</v>
      </c>
      <c r="G214" s="423">
        <v>484.85218839200002</v>
      </c>
      <c r="H214" s="420">
        <f t="shared" si="26"/>
        <v>4.3999999709600002E-2</v>
      </c>
      <c r="I214" s="419">
        <f t="shared" si="27"/>
        <v>14.300002245699861</v>
      </c>
      <c r="J214" s="126">
        <f t="shared" si="24"/>
        <v>0.48485218839200001</v>
      </c>
      <c r="L214" s="48">
        <f>IF(A214=0,$G$54,COUNTIF($L$109:L213,"&lt;"&amp;$G$54)+1)</f>
        <v>101</v>
      </c>
      <c r="M214" s="6" t="str">
        <f ca="1">IFERROR(INDEX($D$110:OFFSET($D$110,$D$107-1,0),MATCH(ROW()-ROW($L$109),$L$110:OFFSET($L$110,$D$107-1,0),0)),"")</f>
        <v>Phifer, SheerWeave Style 5000: Q94</v>
      </c>
      <c r="N214" s="420">
        <f t="shared" ca="1" si="28"/>
        <v>3.5999999762400002E-2</v>
      </c>
      <c r="O214" s="419">
        <f t="shared" ca="1" si="29"/>
        <v>13.70000215147469</v>
      </c>
    </row>
    <row r="215" spans="1:15" outlineLevel="1" x14ac:dyDescent="0.25">
      <c r="A215" s="453">
        <v>1</v>
      </c>
      <c r="B215" s="821"/>
      <c r="C215" s="127" t="s">
        <v>728</v>
      </c>
      <c r="D215" s="127" t="str">
        <f t="shared" ca="1" si="25"/>
        <v xml:space="preserve">Phifer, SheerWeave Style 5000: Q52, </v>
      </c>
      <c r="E215" s="128"/>
      <c r="F215" s="422">
        <v>0.93979999379731993</v>
      </c>
      <c r="G215" s="423">
        <v>433.99356723200003</v>
      </c>
      <c r="H215" s="420">
        <f t="shared" si="26"/>
        <v>3.6999999755799998E-2</v>
      </c>
      <c r="I215" s="419">
        <f t="shared" si="27"/>
        <v>12.800002010136939</v>
      </c>
      <c r="J215" s="126">
        <f t="shared" si="24"/>
        <v>0.43399356723200005</v>
      </c>
      <c r="L215" s="48">
        <f>IF(A215=0,$G$54,COUNTIF($L$109:L214,"&lt;"&amp;$G$54)+1)</f>
        <v>102</v>
      </c>
      <c r="M215" s="6" t="str">
        <f ca="1">IFERROR(INDEX($D$110:OFFSET($D$110,$D$107-1,0),MATCH(ROW()-ROW($L$109),$L$110:OFFSET($L$110,$D$107-1,0),0)),"")</f>
        <v>Phifer, SheerWeave Style 5000: Q95</v>
      </c>
      <c r="N215" s="420">
        <f t="shared" ca="1" si="28"/>
        <v>3.79999997492E-2</v>
      </c>
      <c r="O215" s="419">
        <f t="shared" ca="1" si="29"/>
        <v>13.600002135770497</v>
      </c>
    </row>
    <row r="216" spans="1:15" outlineLevel="1" x14ac:dyDescent="0.25">
      <c r="A216" s="453">
        <v>1</v>
      </c>
      <c r="B216" s="821"/>
      <c r="C216" s="127" t="s">
        <v>729</v>
      </c>
      <c r="D216" s="127" t="str">
        <f t="shared" ca="1" si="25"/>
        <v>Phifer, SheerWeave Style 5000: Q53</v>
      </c>
      <c r="E216" s="128"/>
      <c r="F216" s="422">
        <v>0.93979999379731993</v>
      </c>
      <c r="G216" s="423">
        <v>440.77471672000001</v>
      </c>
      <c r="H216" s="420">
        <f t="shared" si="26"/>
        <v>3.6999999755799998E-2</v>
      </c>
      <c r="I216" s="419">
        <f t="shared" si="27"/>
        <v>13.000002041545329</v>
      </c>
      <c r="J216" s="126">
        <f t="shared" si="24"/>
        <v>0.44077471672000001</v>
      </c>
      <c r="L216" s="48">
        <f>IF(A216=0,$G$54,COUNTIF($L$109:L215,"&lt;"&amp;$G$54)+1)</f>
        <v>103</v>
      </c>
      <c r="M216" s="6" t="str">
        <f ca="1">IFERROR(INDEX($D$110:OFFSET($D$110,$D$107-1,0),MATCH(ROW()-ROW($L$109),$L$110:OFFSET($L$110,$D$107-1,0),0)),"")</f>
        <v>Phifer, SheerWeave Style 5000: Q96</v>
      </c>
      <c r="N216" s="420">
        <f t="shared" ca="1" si="28"/>
        <v>3.6999999755799998E-2</v>
      </c>
      <c r="O216" s="419">
        <f t="shared" ca="1" si="29"/>
        <v>13.500002120066304</v>
      </c>
    </row>
    <row r="217" spans="1:15" outlineLevel="1" x14ac:dyDescent="0.25">
      <c r="A217" s="453">
        <v>1</v>
      </c>
      <c r="B217" s="821"/>
      <c r="C217" s="127" t="s">
        <v>730</v>
      </c>
      <c r="D217" s="127" t="str">
        <f t="shared" ca="1" si="25"/>
        <v>Phifer, SheerWeave Style 5000: Q93</v>
      </c>
      <c r="E217" s="128"/>
      <c r="F217" s="422">
        <v>0.81279999463552</v>
      </c>
      <c r="G217" s="423">
        <v>420.43126825600001</v>
      </c>
      <c r="H217" s="420">
        <f t="shared" si="26"/>
        <v>3.1999999788799999E-2</v>
      </c>
      <c r="I217" s="419">
        <f t="shared" si="27"/>
        <v>12.40000194732016</v>
      </c>
      <c r="J217" s="126">
        <f t="shared" si="24"/>
        <v>0.42043126825600002</v>
      </c>
      <c r="L217" s="48">
        <f>IF(A217=0,$G$54,COUNTIF($L$109:L216,"&lt;"&amp;$G$54)+1)</f>
        <v>104</v>
      </c>
      <c r="M217" s="6" t="str">
        <f ca="1">IFERROR(INDEX($D$110:OFFSET($D$110,$D$107-1,0),MATCH(ROW()-ROW($L$109),$L$110:OFFSET($L$110,$D$107-1,0),0)),"")</f>
        <v>Phifer, SheerWeave Style 7000</v>
      </c>
      <c r="N217" s="420">
        <f t="shared" ca="1" si="28"/>
        <v>1.7999999881200001E-2</v>
      </c>
      <c r="O217" s="419">
        <f t="shared" ca="1" si="29"/>
        <v>10.000001570419483</v>
      </c>
    </row>
    <row r="218" spans="1:15" outlineLevel="1" x14ac:dyDescent="0.25">
      <c r="A218" s="453">
        <v>1</v>
      </c>
      <c r="B218" s="821"/>
      <c r="C218" s="127" t="s">
        <v>731</v>
      </c>
      <c r="D218" s="127" t="str">
        <f t="shared" ca="1" si="25"/>
        <v>Phifer, SheerWeave Style 5000: Q94</v>
      </c>
      <c r="E218" s="128"/>
      <c r="F218" s="422">
        <v>0.91439999396495997</v>
      </c>
      <c r="G218" s="423">
        <v>464.50873992799995</v>
      </c>
      <c r="H218" s="420">
        <f t="shared" si="26"/>
        <v>3.5999999762400002E-2</v>
      </c>
      <c r="I218" s="419">
        <f t="shared" si="27"/>
        <v>13.70000215147469</v>
      </c>
      <c r="J218" s="126">
        <f t="shared" si="24"/>
        <v>0.46450873992799996</v>
      </c>
      <c r="L218" s="48">
        <f>IF(A218=0,$G$54,COUNTIF($L$109:L217,"&lt;"&amp;$G$54)+1)</f>
        <v>105</v>
      </c>
      <c r="M218" s="6" t="str">
        <f ca="1">IFERROR(INDEX($D$110:OFFSET($D$110,$D$107-1,0),MATCH(ROW()-ROW($L$109),$L$110:OFFSET($L$110,$D$107-1,0),0)),"")</f>
        <v>Phifer, SheerWeave Style 7100</v>
      </c>
      <c r="N218" s="420">
        <f t="shared" ca="1" si="28"/>
        <v>2.29999998482E-2</v>
      </c>
      <c r="O218" s="419">
        <f t="shared" ca="1" si="29"/>
        <v>19.800003109430577</v>
      </c>
    </row>
    <row r="219" spans="1:15" outlineLevel="1" x14ac:dyDescent="0.25">
      <c r="A219" s="453">
        <v>1</v>
      </c>
      <c r="B219" s="821"/>
      <c r="C219" s="127" t="s">
        <v>732</v>
      </c>
      <c r="D219" s="127" t="str">
        <f t="shared" ca="1" si="25"/>
        <v>Phifer, SheerWeave Style 5000: Q95</v>
      </c>
      <c r="E219" s="128"/>
      <c r="F219" s="422">
        <v>0.96519999362968001</v>
      </c>
      <c r="G219" s="423">
        <v>461.11816518400002</v>
      </c>
      <c r="H219" s="420">
        <f t="shared" si="26"/>
        <v>3.79999997492E-2</v>
      </c>
      <c r="I219" s="419">
        <f t="shared" si="27"/>
        <v>13.600002135770497</v>
      </c>
      <c r="J219" s="126">
        <f t="shared" si="24"/>
        <v>0.46111816518400001</v>
      </c>
      <c r="L219" s="48">
        <f>IF(A219=0,$G$54,COUNTIF($L$109:L218,"&lt;"&amp;$G$54)+1)</f>
        <v>106</v>
      </c>
      <c r="M219" s="6" t="str">
        <f ca="1">IFERROR(INDEX($D$110:OFFSET($D$110,$D$107-1,0),MATCH(ROW()-ROW($L$109),$L$110:OFFSET($L$110,$D$107-1,0),0)),"")</f>
        <v>Phifer, SheerWeave Style 7300</v>
      </c>
      <c r="N219" s="420">
        <f t="shared" ca="1" si="28"/>
        <v>2.5599999831040002E-2</v>
      </c>
      <c r="O219" s="419">
        <f t="shared" ca="1" si="29"/>
        <v>14.160002223713988</v>
      </c>
    </row>
    <row r="220" spans="1:15" outlineLevel="1" x14ac:dyDescent="0.25">
      <c r="A220" s="453">
        <v>1</v>
      </c>
      <c r="B220" s="821"/>
      <c r="C220" s="127" t="s">
        <v>733</v>
      </c>
      <c r="D220" s="127" t="str">
        <f t="shared" ca="1" si="25"/>
        <v>Phifer, SheerWeave Style 5000: Q96</v>
      </c>
      <c r="E220" s="128"/>
      <c r="F220" s="422">
        <v>0.93979999379731993</v>
      </c>
      <c r="G220" s="423">
        <v>457.72759044000003</v>
      </c>
      <c r="H220" s="420">
        <f t="shared" si="26"/>
        <v>3.6999999755799998E-2</v>
      </c>
      <c r="I220" s="419">
        <f t="shared" si="27"/>
        <v>13.500002120066304</v>
      </c>
      <c r="J220" s="126">
        <f t="shared" si="24"/>
        <v>0.45772759044000005</v>
      </c>
      <c r="L220" s="48">
        <f>IF(A220=0,$G$54,COUNTIF($L$109:L219,"&lt;"&amp;$G$54)+1)</f>
        <v>107</v>
      </c>
      <c r="M220" s="6" t="str">
        <f ca="1">IFERROR(INDEX($D$110:OFFSET($D$110,$D$107-1,0),MATCH(ROW()-ROW($L$109),$L$110:OFFSET($L$110,$D$107-1,0),0)),"")</f>
        <v>Phifer, SheerWeave Style 7500, thick</v>
      </c>
      <c r="N220" s="420">
        <f t="shared" ca="1" si="28"/>
        <v>2.3599999844240001E-2</v>
      </c>
      <c r="O220" s="419">
        <f t="shared" ca="1" si="29"/>
        <v>7.6700012045117436</v>
      </c>
    </row>
    <row r="221" spans="1:15" outlineLevel="1" x14ac:dyDescent="0.25">
      <c r="A221" s="453">
        <v>1</v>
      </c>
      <c r="B221" s="821"/>
      <c r="C221" s="127" t="s">
        <v>734</v>
      </c>
      <c r="D221" s="127" t="str">
        <f t="shared" ca="1" si="25"/>
        <v>Phifer, SheerWeave Style 7000</v>
      </c>
      <c r="E221" s="128"/>
      <c r="F221" s="422">
        <v>0.45719999698247998</v>
      </c>
      <c r="G221" s="423">
        <v>339.05747439999999</v>
      </c>
      <c r="H221" s="420">
        <f t="shared" si="26"/>
        <v>1.7999999881200001E-2</v>
      </c>
      <c r="I221" s="419">
        <f t="shared" si="27"/>
        <v>10.000001570419483</v>
      </c>
      <c r="J221" s="126">
        <f t="shared" si="24"/>
        <v>0.3390574744</v>
      </c>
      <c r="L221" s="48">
        <f>IF(A221=0,$G$54,COUNTIF($L$109:L220,"&lt;"&amp;$G$54)+1)</f>
        <v>108</v>
      </c>
      <c r="M221" s="6" t="str">
        <f ca="1">IFERROR(INDEX($D$110:OFFSET($D$110,$D$107-1,0),MATCH(ROW()-ROW($L$109),$L$110:OFFSET($L$110,$D$107-1,0),0)),"")</f>
        <v>Phifer, SheerWeave Style 7500, thin</v>
      </c>
      <c r="N221" s="420">
        <f t="shared" ca="1" si="28"/>
        <v>1.29999999142E-2</v>
      </c>
      <c r="O221" s="419">
        <f t="shared" ca="1" si="29"/>
        <v>11.80000185309499</v>
      </c>
    </row>
    <row r="222" spans="1:15" outlineLevel="1" x14ac:dyDescent="0.25">
      <c r="A222" s="453">
        <v>1</v>
      </c>
      <c r="B222" s="821"/>
      <c r="C222" s="127" t="s">
        <v>735</v>
      </c>
      <c r="D222" s="127" t="str">
        <f t="shared" ca="1" si="25"/>
        <v>Phifer, SheerWeave Style 7100</v>
      </c>
      <c r="E222" s="128"/>
      <c r="F222" s="422">
        <v>0.58419999614427998</v>
      </c>
      <c r="G222" s="423">
        <v>671.333799312</v>
      </c>
      <c r="H222" s="420">
        <f t="shared" si="26"/>
        <v>2.29999998482E-2</v>
      </c>
      <c r="I222" s="419">
        <f t="shared" si="27"/>
        <v>19.800003109430577</v>
      </c>
      <c r="J222" s="126">
        <f t="shared" si="24"/>
        <v>0.67133379931199999</v>
      </c>
      <c r="L222" s="48">
        <f>IF(A222=0,$G$54,COUNTIF($L$109:L221,"&lt;"&amp;$G$54)+1)</f>
        <v>109</v>
      </c>
      <c r="M222" s="6" t="str">
        <f ca="1">IFERROR(INDEX($D$110:OFFSET($D$110,$D$107-1,0),MATCH(ROW()-ROW($L$109),$L$110:OFFSET($L$110,$D$107-1,0),0)),"")</f>
        <v>Phifer, SunTex 80</v>
      </c>
      <c r="N222" s="420">
        <f t="shared" ca="1" si="28"/>
        <v>3.9999999735999998E-2</v>
      </c>
      <c r="O222" s="419">
        <f t="shared" ca="1" si="29"/>
        <v>13.500002120066304</v>
      </c>
    </row>
    <row r="223" spans="1:15" outlineLevel="1" x14ac:dyDescent="0.25">
      <c r="A223" s="453">
        <v>1</v>
      </c>
      <c r="B223" s="821"/>
      <c r="C223" s="127" t="s">
        <v>736</v>
      </c>
      <c r="D223" s="127" t="str">
        <f t="shared" ca="1" si="25"/>
        <v>Phifer, SheerWeave Style 7300</v>
      </c>
      <c r="E223" s="128"/>
      <c r="F223" s="422">
        <v>0.65023999570841606</v>
      </c>
      <c r="G223" s="423">
        <v>480.10538375039999</v>
      </c>
      <c r="H223" s="420">
        <f t="shared" si="26"/>
        <v>2.5599999831040002E-2</v>
      </c>
      <c r="I223" s="419">
        <f t="shared" si="27"/>
        <v>14.160002223713988</v>
      </c>
      <c r="J223" s="126">
        <f t="shared" si="24"/>
        <v>0.48010538375040002</v>
      </c>
      <c r="L223" s="48">
        <f>IF(A223=0,$G$54,COUNTIF($L$109:L222,"&lt;"&amp;$G$54)+1)</f>
        <v>110</v>
      </c>
      <c r="M223" s="6" t="str">
        <f ca="1">IFERROR(INDEX($D$110:OFFSET($D$110,$D$107-1,0),MATCH(ROW()-ROW($L$109),$L$110:OFFSET($L$110,$D$107-1,0),0)),"")</f>
        <v>Phifer, SunTex 90</v>
      </c>
      <c r="N223" s="420">
        <f t="shared" ca="1" si="28"/>
        <v>3.8999999742600003E-2</v>
      </c>
      <c r="O223" s="419">
        <f t="shared" ca="1" si="29"/>
        <v>17.200002701121512</v>
      </c>
    </row>
    <row r="224" spans="1:15" outlineLevel="1" x14ac:dyDescent="0.25">
      <c r="A224" s="453">
        <v>1</v>
      </c>
      <c r="B224" s="821"/>
      <c r="C224" s="127" t="s">
        <v>737</v>
      </c>
      <c r="D224" s="127" t="str">
        <f t="shared" ca="1" si="25"/>
        <v>Phifer, SheerWeave Style 7500, thick</v>
      </c>
      <c r="E224" s="128"/>
      <c r="F224" s="422">
        <v>0.59943999604369602</v>
      </c>
      <c r="G224" s="423">
        <v>260.05708286480001</v>
      </c>
      <c r="H224" s="420">
        <f t="shared" si="26"/>
        <v>2.3599999844240001E-2</v>
      </c>
      <c r="I224" s="419">
        <f t="shared" si="27"/>
        <v>7.6700012045117436</v>
      </c>
      <c r="J224" s="126">
        <f t="shared" si="24"/>
        <v>0.2600570828648</v>
      </c>
      <c r="L224" s="48">
        <f>IF(A224=0,$G$54,COUNTIF($L$109:L223,"&lt;"&amp;$G$54)+1)</f>
        <v>111</v>
      </c>
      <c r="M224" s="6" t="str">
        <f ca="1">IFERROR(INDEX($D$110:OFFSET($D$110,$D$107-1,0),MATCH(ROW()-ROW($L$109),$L$110:OFFSET($L$110,$D$107-1,0),0)),"")</f>
        <v>Q47 SW5000</v>
      </c>
      <c r="N224" s="420">
        <f t="shared" ca="1" si="28"/>
        <v>3.4999999769000006E-2</v>
      </c>
      <c r="O224" s="419">
        <f t="shared" ca="1" si="29"/>
        <v>12.300001931615965</v>
      </c>
    </row>
    <row r="225" spans="1:15" outlineLevel="1" x14ac:dyDescent="0.25">
      <c r="A225" s="453">
        <v>1</v>
      </c>
      <c r="B225" s="821"/>
      <c r="C225" s="127" t="s">
        <v>738</v>
      </c>
      <c r="D225" s="127" t="str">
        <f t="shared" ca="1" si="25"/>
        <v>Phifer, SheerWeave Style 7500, thin</v>
      </c>
      <c r="E225" s="128"/>
      <c r="F225" s="422">
        <v>0.33019999782067999</v>
      </c>
      <c r="G225" s="423">
        <v>400.087819792</v>
      </c>
      <c r="H225" s="420">
        <f t="shared" si="26"/>
        <v>1.29999999142E-2</v>
      </c>
      <c r="I225" s="419">
        <f t="shared" si="27"/>
        <v>11.80000185309499</v>
      </c>
      <c r="J225" s="126">
        <f t="shared" si="24"/>
        <v>0.40008781979200003</v>
      </c>
      <c r="L225" s="48">
        <f>IF(A225=0,$G$54,COUNTIF($L$109:L224,"&lt;"&amp;$G$54)+1)</f>
        <v>112</v>
      </c>
      <c r="M225" s="6" t="str">
        <f ca="1">IFERROR(INDEX($D$110:OFFSET($D$110,$D$107-1,0),MATCH(ROW()-ROW($L$109),$L$110:OFFSET($L$110,$D$107-1,0),0)),"")</f>
        <v>Custom</v>
      </c>
      <c r="N225" s="420">
        <f t="shared" ca="1" si="28"/>
        <v>0.5</v>
      </c>
      <c r="O225" s="419">
        <f t="shared" ca="1" si="29"/>
        <v>450</v>
      </c>
    </row>
    <row r="226" spans="1:15" outlineLevel="1" x14ac:dyDescent="0.25">
      <c r="A226" s="453">
        <v>1</v>
      </c>
      <c r="B226" s="821"/>
      <c r="C226" s="127" t="s">
        <v>739</v>
      </c>
      <c r="D226" s="127" t="str">
        <f t="shared" ca="1" si="25"/>
        <v>Phifer, SunTex 80</v>
      </c>
      <c r="E226" s="128"/>
      <c r="F226" s="422">
        <v>1.0159999932943999</v>
      </c>
      <c r="G226" s="423">
        <v>457.72759044000003</v>
      </c>
      <c r="H226" s="420">
        <f t="shared" si="26"/>
        <v>3.9999999735999998E-2</v>
      </c>
      <c r="I226" s="419">
        <f t="shared" si="27"/>
        <v>13.500002120066304</v>
      </c>
      <c r="J226" s="126">
        <f t="shared" si="24"/>
        <v>0.45772759044000005</v>
      </c>
      <c r="L226" s="48">
        <f>IF(A226=0,$G$54,COUNTIF($L$109:L225,"&lt;"&amp;$G$54)+1)</f>
        <v>113</v>
      </c>
      <c r="M226" s="6" t="str">
        <f ca="1">IFERROR(INDEX($D$110:OFFSET($D$110,$D$107-1,0),MATCH(ROW()-ROW($L$109),$L$110:OFFSET($L$110,$D$107-1,0),0)),"")</f>
        <v/>
      </c>
      <c r="N226" s="420" t="e">
        <f t="shared" ca="1" si="28"/>
        <v>#N/A</v>
      </c>
      <c r="O226" s="419" t="e">
        <f t="shared" ca="1" si="29"/>
        <v>#N/A</v>
      </c>
    </row>
    <row r="227" spans="1:15" outlineLevel="1" x14ac:dyDescent="0.25">
      <c r="A227" s="453">
        <v>1</v>
      </c>
      <c r="B227" s="821"/>
      <c r="C227" s="127" t="s">
        <v>740</v>
      </c>
      <c r="D227" s="127" t="str">
        <f t="shared" ca="1" si="25"/>
        <v>Phifer, SunTex 90</v>
      </c>
      <c r="E227" s="128"/>
      <c r="F227" s="422">
        <v>0.99059999346203997</v>
      </c>
      <c r="G227" s="423">
        <v>583.17885596799999</v>
      </c>
      <c r="H227" s="420">
        <f t="shared" si="26"/>
        <v>3.8999999742600003E-2</v>
      </c>
      <c r="I227" s="419">
        <f t="shared" si="27"/>
        <v>17.200002701121512</v>
      </c>
      <c r="J227" s="126">
        <f t="shared" si="24"/>
        <v>0.58317885596800001</v>
      </c>
      <c r="L227" s="48">
        <f>IF(A227=0,$G$54,COUNTIF($L$109:L226,"&lt;"&amp;$G$54)+1)</f>
        <v>114</v>
      </c>
      <c r="M227" s="6" t="str">
        <f ca="1">IFERROR(INDEX($D$110:OFFSET($D$110,$D$107-1,0),MATCH(ROW()-ROW($L$109),$L$110:OFFSET($L$110,$D$107-1,0),0)),"")</f>
        <v/>
      </c>
      <c r="N227" s="420" t="e">
        <f t="shared" ca="1" si="28"/>
        <v>#N/A</v>
      </c>
      <c r="O227" s="419" t="e">
        <f t="shared" ca="1" si="29"/>
        <v>#N/A</v>
      </c>
    </row>
    <row r="228" spans="1:15" outlineLevel="1" x14ac:dyDescent="0.25">
      <c r="A228" s="453">
        <v>1</v>
      </c>
      <c r="B228" s="821"/>
      <c r="C228" s="127" t="s">
        <v>741</v>
      </c>
      <c r="D228" s="127" t="str">
        <f t="shared" ca="1" si="25"/>
        <v>Q47 SW5000</v>
      </c>
      <c r="E228" s="128"/>
      <c r="F228" s="422">
        <v>0.88899999413260011</v>
      </c>
      <c r="G228" s="423">
        <v>417.04069351200002</v>
      </c>
      <c r="H228" s="420">
        <f t="shared" si="26"/>
        <v>3.4999999769000006E-2</v>
      </c>
      <c r="I228" s="419">
        <f t="shared" si="27"/>
        <v>12.300001931615965</v>
      </c>
      <c r="J228" s="126">
        <f t="shared" si="24"/>
        <v>0.41704069351200002</v>
      </c>
      <c r="L228" s="48">
        <f>IF(A228=0,$G$54,COUNTIF($L$109:L227,"&lt;"&amp;$G$54)+1)</f>
        <v>115</v>
      </c>
      <c r="M228" s="6" t="str">
        <f ca="1">IFERROR(INDEX($D$110:OFFSET($D$110,$D$107-1,0),MATCH(ROW()-ROW($L$109),$L$110:OFFSET($L$110,$D$107-1,0),0)),"")</f>
        <v/>
      </c>
      <c r="N228" s="420" t="e">
        <f t="shared" ca="1" si="28"/>
        <v>#N/A</v>
      </c>
      <c r="O228" s="419" t="e">
        <f t="shared" ca="1" si="29"/>
        <v>#N/A</v>
      </c>
    </row>
    <row r="229" spans="1:15" x14ac:dyDescent="0.25">
      <c r="A229" s="453">
        <v>1</v>
      </c>
      <c r="C229" s="440" t="s">
        <v>150</v>
      </c>
      <c r="D229" s="440" t="str">
        <f t="shared" ca="1" si="25"/>
        <v>Custom</v>
      </c>
      <c r="E229" s="441"/>
      <c r="F229" s="441">
        <f>Main!AF74*conv_mm</f>
        <v>12.7</v>
      </c>
      <c r="G229" s="442">
        <f>Main!AF73*conv_gsm</f>
        <v>15257.58395191929</v>
      </c>
      <c r="H229" s="443">
        <f t="shared" si="26"/>
        <v>0.5</v>
      </c>
      <c r="I229" s="444">
        <f t="shared" si="27"/>
        <v>450</v>
      </c>
      <c r="J229" s="445">
        <f t="shared" si="10"/>
        <v>15.25758395191929</v>
      </c>
      <c r="K229" t="s">
        <v>151</v>
      </c>
      <c r="L229" s="48">
        <f>IF(A229=0,$G$54,COUNTIF($L$109:L228,"&lt;"&amp;$G$54)+1)</f>
        <v>116</v>
      </c>
      <c r="N229" s="420" t="e">
        <f t="shared" ca="1" si="28"/>
        <v>#N/A</v>
      </c>
      <c r="O229" s="419" t="e">
        <f t="shared" ca="1" si="29"/>
        <v>#N/A</v>
      </c>
    </row>
    <row r="230" spans="1:15" x14ac:dyDescent="0.25">
      <c r="D230" s="34"/>
    </row>
    <row r="231" spans="1:15" x14ac:dyDescent="0.25">
      <c r="C231" s="129"/>
      <c r="D231" s="130"/>
      <c r="E231" s="131"/>
    </row>
    <row r="232" spans="1:15" x14ac:dyDescent="0.25">
      <c r="C232" s="801" t="s">
        <v>152</v>
      </c>
      <c r="D232" s="802"/>
      <c r="E232" s="802"/>
      <c r="F232" s="802"/>
      <c r="G232" s="802"/>
      <c r="H232" s="802"/>
      <c r="I232" s="802"/>
      <c r="J232" s="802"/>
      <c r="K232" s="802"/>
      <c r="L232" s="802"/>
      <c r="M232" s="802"/>
      <c r="N232" s="802"/>
      <c r="O232" s="802"/>
    </row>
    <row r="233" spans="1:15" x14ac:dyDescent="0.25">
      <c r="A233" s="468" t="s">
        <v>778</v>
      </c>
      <c r="C233" s="132" t="s">
        <v>153</v>
      </c>
      <c r="D233" s="133" t="s">
        <v>39</v>
      </c>
      <c r="E233" s="134" t="s">
        <v>154</v>
      </c>
      <c r="F233" s="135" t="s">
        <v>155</v>
      </c>
      <c r="G233" s="825" t="s">
        <v>156</v>
      </c>
      <c r="H233" s="825"/>
      <c r="I233" s="825"/>
      <c r="J233" s="136" t="s">
        <v>157</v>
      </c>
      <c r="K233" s="6" t="s">
        <v>622</v>
      </c>
      <c r="L233" s="461" t="s">
        <v>796</v>
      </c>
      <c r="M233" s="157" t="s">
        <v>797</v>
      </c>
      <c r="N233" s="6" t="s">
        <v>745</v>
      </c>
      <c r="O233" s="462" t="s">
        <v>746</v>
      </c>
    </row>
    <row r="234" spans="1:15" ht="15" customHeight="1" x14ac:dyDescent="0.25">
      <c r="A234" s="453">
        <v>1</v>
      </c>
      <c r="B234" s="819" t="s">
        <v>45</v>
      </c>
      <c r="C234" s="137" t="s">
        <v>158</v>
      </c>
      <c r="D234" s="138" t="s">
        <v>159</v>
      </c>
      <c r="E234" s="139">
        <v>37.9</v>
      </c>
      <c r="F234" s="140">
        <v>1</v>
      </c>
      <c r="G234" s="815">
        <v>1</v>
      </c>
      <c r="H234" s="815"/>
      <c r="I234" s="815"/>
      <c r="J234" s="141">
        <v>0.2</v>
      </c>
      <c r="K234" s="6">
        <f ca="1">IF(AND(F234&gt;Control_Torque_requirement,M234=1,A234=1),COUNTIF($K$233:K233,"&lt;"&amp;$G$302)+1,$G$302)</f>
        <v>100</v>
      </c>
      <c r="L234" s="461">
        <f>COUNTA(C233:C257)</f>
        <v>25</v>
      </c>
      <c r="M234" s="462">
        <f t="shared" ref="M234:M257" ca="1" si="30">IFERROR(INDEX(System_Compatibility_Matrix,MATCH(C234,System_Compatibility_Control,0),MATCH(system_selected,System_Compatibility_Tube,0)), "NOT ON LIST")</f>
        <v>0</v>
      </c>
      <c r="N234" s="6" t="str">
        <f ca="1">IFERROR(INDEX($C$234:OFFSET($C$234,$L$234-1,0),MATCH(ROW()-ROW($K$233),$K$234:OFFSET($K$234,$L$234-1,0),0)),"")</f>
        <v>SL15</v>
      </c>
      <c r="O234" s="462">
        <f ca="1">IFERROR(MATCH("",N234:N258,0)-1,"")</f>
        <v>6</v>
      </c>
    </row>
    <row r="235" spans="1:15" x14ac:dyDescent="0.25">
      <c r="A235" s="453">
        <v>1</v>
      </c>
      <c r="B235" s="812"/>
      <c r="C235" s="137" t="s">
        <v>160</v>
      </c>
      <c r="D235" s="138" t="s">
        <v>161</v>
      </c>
      <c r="E235" s="139">
        <v>45.6</v>
      </c>
      <c r="F235" s="140">
        <v>1</v>
      </c>
      <c r="G235" s="815">
        <v>1</v>
      </c>
      <c r="H235" s="815"/>
      <c r="I235" s="815"/>
      <c r="J235" s="141">
        <v>0.2</v>
      </c>
      <c r="K235" s="6">
        <f ca="1">IF(AND(F235&gt;Control_Torque_requirement,M235=1,A235=1),COUNTIF($K$233:K234,"&lt;"&amp;$G$302)+1,$G$302)</f>
        <v>100</v>
      </c>
      <c r="M235" s="462">
        <f t="shared" ca="1" si="30"/>
        <v>0</v>
      </c>
      <c r="N235" s="6" t="str">
        <f ca="1">IFERROR(INDEX($C$234:OFFSET($C$234,$L$234-1,0),MATCH(ROW()-ROW($K$233),$K$234:OFFSET($K$234,$L$234-1,0),0)),"")</f>
        <v>SL20</v>
      </c>
    </row>
    <row r="236" spans="1:15" x14ac:dyDescent="0.25">
      <c r="A236" s="453">
        <v>1</v>
      </c>
      <c r="B236" s="812"/>
      <c r="C236" s="137" t="s">
        <v>162</v>
      </c>
      <c r="D236" s="138" t="s">
        <v>163</v>
      </c>
      <c r="E236" s="139">
        <v>45.6</v>
      </c>
      <c r="F236" s="140">
        <v>1</v>
      </c>
      <c r="G236" s="815">
        <v>1</v>
      </c>
      <c r="H236" s="815"/>
      <c r="I236" s="815"/>
      <c r="J236" s="141">
        <v>0.2</v>
      </c>
      <c r="K236" s="6">
        <f ca="1">IF(AND(F236&gt;Control_Torque_requirement,M236=1,A236=1),COUNTIF($K$233:K235,"&lt;"&amp;$G$302)+1,$G$302)</f>
        <v>100</v>
      </c>
      <c r="M236" s="462">
        <f t="shared" ca="1" si="30"/>
        <v>0</v>
      </c>
      <c r="N236" s="6" t="str">
        <f ca="1">IFERROR(INDEX($C$234:OFFSET($C$234,$L$234-1,0),MATCH(ROW()-ROW($K$233),$K$234:OFFSET($K$234,$L$234-1,0),0)),"")</f>
        <v>SL30</v>
      </c>
    </row>
    <row r="237" spans="1:15" x14ac:dyDescent="0.25">
      <c r="A237" s="453">
        <v>1</v>
      </c>
      <c r="B237" s="812"/>
      <c r="C237" s="137" t="s">
        <v>164</v>
      </c>
      <c r="D237" s="138" t="s">
        <v>165</v>
      </c>
      <c r="E237" s="142">
        <v>37.9</v>
      </c>
      <c r="F237" s="140">
        <v>1</v>
      </c>
      <c r="G237" s="815">
        <v>1</v>
      </c>
      <c r="H237" s="815"/>
      <c r="I237" s="815"/>
      <c r="J237" s="141">
        <v>0.2</v>
      </c>
      <c r="K237" s="6">
        <f ca="1">IF(AND(F237&gt;Control_Torque_requirement,M237=1,A237=1),COUNTIF($K$233:K236,"&lt;"&amp;$G$302)+1,$G$302)</f>
        <v>100</v>
      </c>
      <c r="M237" s="462">
        <f t="shared" ca="1" si="30"/>
        <v>0</v>
      </c>
      <c r="N237" s="6" t="str">
        <f ca="1">IFERROR(INDEX($C$234:OFFSET($C$234,$L$234-1,0),MATCH(ROW()-ROW($K$233),$K$234:OFFSET($K$234,$L$234-1,0),0)),"")</f>
        <v>RGALH</v>
      </c>
    </row>
    <row r="238" spans="1:15" x14ac:dyDescent="0.25">
      <c r="A238" s="453">
        <v>1</v>
      </c>
      <c r="B238" s="812"/>
      <c r="C238" s="137" t="s">
        <v>166</v>
      </c>
      <c r="D238" s="138" t="s">
        <v>167</v>
      </c>
      <c r="E238" s="142">
        <v>45.6</v>
      </c>
      <c r="F238" s="140">
        <v>1</v>
      </c>
      <c r="G238" s="815">
        <v>1</v>
      </c>
      <c r="H238" s="815"/>
      <c r="I238" s="815"/>
      <c r="J238" s="141">
        <v>0.3</v>
      </c>
      <c r="K238" s="6">
        <f ca="1">IF(AND(F238&gt;Control_Torque_requirement,M238=1,A238=1),COUNTIF($K$233:K237,"&lt;"&amp;$G$302)+1,$G$302)</f>
        <v>100</v>
      </c>
      <c r="M238" s="462">
        <f t="shared" ca="1" si="30"/>
        <v>0</v>
      </c>
      <c r="N238" s="6" t="str">
        <f ca="1">IFERROR(INDEX($C$234:OFFSET($C$234,$L$234-1,0),MATCH(ROW()-ROW($K$233),$K$234:OFFSET($K$234,$L$234-1,0),0)),"")</f>
        <v>R16</v>
      </c>
    </row>
    <row r="239" spans="1:15" x14ac:dyDescent="0.25">
      <c r="A239" s="453">
        <v>1</v>
      </c>
      <c r="B239" s="812"/>
      <c r="C239" s="137" t="s">
        <v>168</v>
      </c>
      <c r="D239" s="138" t="s">
        <v>169</v>
      </c>
      <c r="E239" s="142">
        <v>46</v>
      </c>
      <c r="F239" s="140">
        <v>1</v>
      </c>
      <c r="G239" s="815">
        <v>1</v>
      </c>
      <c r="H239" s="815"/>
      <c r="I239" s="815"/>
      <c r="J239" s="141">
        <v>0.2</v>
      </c>
      <c r="K239" s="6">
        <f ca="1">IF(AND(F239&gt;Control_Torque_requirement,M239=1,A239=1),COUNTIF($K$233:K238,"&lt;"&amp;$G$302)+1,$G$302)</f>
        <v>100</v>
      </c>
      <c r="M239" s="462">
        <f t="shared" ca="1" si="30"/>
        <v>0</v>
      </c>
      <c r="N239" s="6" t="str">
        <f ca="1">IFERROR(INDEX($C$234:OFFSET($C$234,$L$234-1,0),MATCH(ROW()-ROW($K$233),$K$234:OFFSET($K$234,$L$234-1,0),0)),"")</f>
        <v>R24</v>
      </c>
    </row>
    <row r="240" spans="1:15" x14ac:dyDescent="0.25">
      <c r="A240" s="453">
        <v>1</v>
      </c>
      <c r="B240" s="812"/>
      <c r="C240" s="137" t="s">
        <v>170</v>
      </c>
      <c r="D240" s="138" t="s">
        <v>171</v>
      </c>
      <c r="E240" s="142">
        <v>46</v>
      </c>
      <c r="F240" s="140">
        <v>1</v>
      </c>
      <c r="G240" s="826">
        <v>1</v>
      </c>
      <c r="H240" s="827"/>
      <c r="I240" s="828"/>
      <c r="J240" s="141">
        <v>0.42</v>
      </c>
      <c r="K240" s="6">
        <f ca="1">IF(AND(F240&gt;Control_Torque_requirement,M240=1,A240=1),COUNTIF($K$233:K239,"&lt;"&amp;$G$302)+1,$G$302)</f>
        <v>100</v>
      </c>
      <c r="M240" s="462">
        <f t="shared" ca="1" si="30"/>
        <v>0</v>
      </c>
      <c r="N240" s="6" t="str">
        <f ca="1">IFERROR(INDEX($C$234:OFFSET($C$234,$L$234-1,0),MATCH(ROW()-ROW($K$233),$K$234:OFFSET($K$234,$L$234-1,0),0)),"")</f>
        <v/>
      </c>
    </row>
    <row r="241" spans="1:14" x14ac:dyDescent="0.25">
      <c r="A241" s="453">
        <v>1</v>
      </c>
      <c r="B241" s="812"/>
      <c r="C241" s="137" t="s">
        <v>172</v>
      </c>
      <c r="D241" s="138" t="s">
        <v>173</v>
      </c>
      <c r="E241" s="142">
        <v>46</v>
      </c>
      <c r="F241" s="140">
        <v>1</v>
      </c>
      <c r="G241" s="815">
        <v>1</v>
      </c>
      <c r="H241" s="815"/>
      <c r="I241" s="815"/>
      <c r="J241" s="141">
        <v>0.2</v>
      </c>
      <c r="K241" s="6">
        <f ca="1">IF(AND(F241&gt;Control_Torque_requirement,M241=1,A241=1),COUNTIF($K$233:K240,"&lt;"&amp;$G$302)+1,$G$302)</f>
        <v>100</v>
      </c>
      <c r="M241" s="462">
        <f t="shared" ca="1" si="30"/>
        <v>0</v>
      </c>
      <c r="N241" s="6" t="str">
        <f ca="1">IFERROR(INDEX($C$234:OFFSET($C$234,$L$234-1,0),MATCH(ROW()-ROW($K$233),$K$234:OFFSET($K$234,$L$234-1,0),0)),"")</f>
        <v/>
      </c>
    </row>
    <row r="242" spans="1:14" x14ac:dyDescent="0.25">
      <c r="A242" s="453">
        <v>1</v>
      </c>
      <c r="B242" s="812"/>
      <c r="C242" s="137" t="s">
        <v>174</v>
      </c>
      <c r="D242" s="138" t="s">
        <v>175</v>
      </c>
      <c r="E242" s="142">
        <v>49.3</v>
      </c>
      <c r="F242" s="140">
        <v>1</v>
      </c>
      <c r="G242" s="815">
        <v>1</v>
      </c>
      <c r="H242" s="815"/>
      <c r="I242" s="815"/>
      <c r="J242" s="141">
        <v>0.2</v>
      </c>
      <c r="K242" s="6">
        <f ca="1">IF(AND(F242&gt;Control_Torque_requirement,M242=1,A242=1),COUNTIF($K$233:K241,"&lt;"&amp;$G$302)+1,$G$302)</f>
        <v>100</v>
      </c>
      <c r="M242" s="462">
        <f t="shared" ca="1" si="30"/>
        <v>0</v>
      </c>
      <c r="N242" s="6" t="str">
        <f ca="1">IFERROR(INDEX($C$234:OFFSET($C$234,$L$234-1,0),MATCH(ROW()-ROW($K$233),$K$234:OFFSET($K$234,$L$234-1,0),0)),"")</f>
        <v/>
      </c>
    </row>
    <row r="243" spans="1:14" x14ac:dyDescent="0.25">
      <c r="A243" s="453">
        <v>1</v>
      </c>
      <c r="B243" s="812"/>
      <c r="C243" s="137" t="s">
        <v>176</v>
      </c>
      <c r="D243" s="138" t="s">
        <v>177</v>
      </c>
      <c r="E243" s="142">
        <v>22.1</v>
      </c>
      <c r="F243" s="143"/>
      <c r="G243" s="815">
        <v>1</v>
      </c>
      <c r="H243" s="815"/>
      <c r="I243" s="815"/>
      <c r="J243" s="141">
        <v>0.2</v>
      </c>
      <c r="K243" s="6">
        <f ca="1">IF(AND(F243&gt;Control_Torque_requirement,M243=1,A243=1),COUNTIF($K$233:K242,"&lt;"&amp;$G$302)+1,$G$302)</f>
        <v>100</v>
      </c>
      <c r="M243" s="462">
        <f t="shared" ca="1" si="30"/>
        <v>0</v>
      </c>
      <c r="N243" s="6" t="str">
        <f ca="1">IFERROR(INDEX($C$234:OFFSET($C$234,$L$234-1,0),MATCH(ROW()-ROW($K$233),$K$234:OFFSET($K$234,$L$234-1,0),0)),"")</f>
        <v/>
      </c>
    </row>
    <row r="244" spans="1:14" ht="15.75" thickBot="1" x14ac:dyDescent="0.3">
      <c r="A244" s="453">
        <v>1</v>
      </c>
      <c r="B244" s="820"/>
      <c r="C244" s="144" t="s">
        <v>178</v>
      </c>
      <c r="D244" s="145" t="s">
        <v>179</v>
      </c>
      <c r="E244" s="146">
        <v>22.1</v>
      </c>
      <c r="F244" s="147"/>
      <c r="G244" s="822"/>
      <c r="H244" s="823"/>
      <c r="I244" s="824"/>
      <c r="J244" s="148">
        <v>0.2</v>
      </c>
      <c r="K244" s="6">
        <f ca="1">IF(AND(F244&gt;Control_Torque_requirement,M244=1,A244=1),COUNTIF($K$233:K243,"&lt;"&amp;$G$302)+1,$G$302)</f>
        <v>100</v>
      </c>
      <c r="M244" s="462">
        <f t="shared" ca="1" si="30"/>
        <v>0</v>
      </c>
      <c r="N244" s="6" t="str">
        <f ca="1">IFERROR(INDEX($C$234:OFFSET($C$234,$L$234-1,0),MATCH(ROW()-ROW($K$233),$K$234:OFFSET($K$234,$L$234-1,0),0)),"")</f>
        <v/>
      </c>
    </row>
    <row r="245" spans="1:14" ht="15.75" customHeight="1" thickTop="1" x14ac:dyDescent="0.25">
      <c r="A245" s="453">
        <v>0</v>
      </c>
      <c r="B245" s="811" t="s">
        <v>80</v>
      </c>
      <c r="C245" s="149" t="s">
        <v>180</v>
      </c>
      <c r="D245" s="150" t="s">
        <v>181</v>
      </c>
      <c r="E245" s="151">
        <v>28.96</v>
      </c>
      <c r="F245" s="152">
        <v>0.32</v>
      </c>
      <c r="G245" s="814">
        <v>1</v>
      </c>
      <c r="H245" s="814"/>
      <c r="I245" s="814"/>
      <c r="J245" s="153">
        <v>0.23</v>
      </c>
      <c r="K245" s="6">
        <f ca="1">IF(AND(F245&gt;Control_Torque_requirement,M245=1,A245=1),COUNTIF($K$233:K244,"&lt;"&amp;$G$302)+1,$G$302)</f>
        <v>100</v>
      </c>
      <c r="M245" s="462">
        <f t="shared" ca="1" si="30"/>
        <v>1</v>
      </c>
      <c r="N245" s="6" t="str">
        <f ca="1">IFERROR(INDEX($C$234:OFFSET($C$234,$L$234-1,0),MATCH(ROW()-ROW($K$233),$K$234:OFFSET($K$234,$L$234-1,0),0)),"")</f>
        <v/>
      </c>
    </row>
    <row r="246" spans="1:14" x14ac:dyDescent="0.25">
      <c r="A246" s="453">
        <v>1</v>
      </c>
      <c r="B246" s="812"/>
      <c r="C246" s="137" t="s">
        <v>182</v>
      </c>
      <c r="D246" s="6" t="s">
        <v>183</v>
      </c>
      <c r="E246" s="154">
        <v>39.369999999999997</v>
      </c>
      <c r="F246" s="155">
        <v>0.71</v>
      </c>
      <c r="G246" s="815">
        <v>1</v>
      </c>
      <c r="H246" s="815"/>
      <c r="I246" s="815"/>
      <c r="J246" s="141">
        <v>0.23</v>
      </c>
      <c r="K246" s="6">
        <f ca="1">IF(AND(F246&gt;Control_Torque_requirement,M246=1,A246=1),COUNTIF($K$233:K245,"&lt;"&amp;$G$302)+1,$G$302)</f>
        <v>100</v>
      </c>
      <c r="M246" s="462">
        <f t="shared" ca="1" si="30"/>
        <v>1</v>
      </c>
      <c r="N246" s="6" t="str">
        <f ca="1">IFERROR(INDEX($C$234:OFFSET($C$234,$L$234-1,0),MATCH(ROW()-ROW($K$233),$K$234:OFFSET($K$234,$L$234-1,0),0)),"")</f>
        <v/>
      </c>
    </row>
    <row r="247" spans="1:14" x14ac:dyDescent="0.25">
      <c r="A247" s="453">
        <v>0</v>
      </c>
      <c r="B247" s="812"/>
      <c r="C247" s="137" t="s">
        <v>184</v>
      </c>
      <c r="D247" s="6" t="s">
        <v>185</v>
      </c>
      <c r="E247" s="141">
        <v>46.61</v>
      </c>
      <c r="F247" s="143">
        <v>1.06</v>
      </c>
      <c r="G247" s="815">
        <v>1</v>
      </c>
      <c r="H247" s="815"/>
      <c r="I247" s="815"/>
      <c r="J247" s="141">
        <v>0.23</v>
      </c>
      <c r="K247" s="6">
        <f ca="1">IF(AND(F247&gt;Control_Torque_requirement,M247=1,A247=1),COUNTIF($K$233:K246,"&lt;"&amp;$G$302)+1,$G$302)</f>
        <v>100</v>
      </c>
      <c r="M247" s="462">
        <f t="shared" ca="1" si="30"/>
        <v>1</v>
      </c>
      <c r="N247" s="6" t="str">
        <f ca="1">IFERROR(INDEX($C$234:OFFSET($C$234,$L$234-1,0),MATCH(ROW()-ROW($K$233),$K$234:OFFSET($K$234,$L$234-1,0),0)),"")</f>
        <v/>
      </c>
    </row>
    <row r="248" spans="1:14" x14ac:dyDescent="0.25">
      <c r="A248" s="453">
        <v>1</v>
      </c>
      <c r="B248" s="812"/>
      <c r="C248" s="137" t="s">
        <v>186</v>
      </c>
      <c r="D248" s="6" t="s">
        <v>187</v>
      </c>
      <c r="E248" s="141">
        <v>46.61</v>
      </c>
      <c r="F248" s="140">
        <v>1.06</v>
      </c>
      <c r="G248" s="815">
        <v>1</v>
      </c>
      <c r="H248" s="815"/>
      <c r="I248" s="815"/>
      <c r="J248" s="141">
        <v>0.23</v>
      </c>
      <c r="K248" s="6">
        <f ca="1">IF(AND(F248&gt;Control_Torque_requirement,M248=1,A248=1),COUNTIF($K$233:K247,"&lt;"&amp;$G$302)+1,$G$302)</f>
        <v>1</v>
      </c>
      <c r="M248" s="462">
        <f t="shared" ca="1" si="30"/>
        <v>1</v>
      </c>
      <c r="N248" s="6" t="str">
        <f ca="1">IFERROR(INDEX($C$234:OFFSET($C$234,$L$234-1,0),MATCH(ROW()-ROW($K$233),$K$234:OFFSET($K$234,$L$234-1,0),0)),"")</f>
        <v/>
      </c>
    </row>
    <row r="249" spans="1:14" x14ac:dyDescent="0.25">
      <c r="A249" s="453">
        <v>0</v>
      </c>
      <c r="B249" s="812"/>
      <c r="C249" s="137" t="s">
        <v>188</v>
      </c>
      <c r="D249" s="6" t="s">
        <v>189</v>
      </c>
      <c r="E249" s="141">
        <v>57.15</v>
      </c>
      <c r="F249" s="143">
        <v>1.69</v>
      </c>
      <c r="G249" s="815">
        <v>1</v>
      </c>
      <c r="H249" s="815"/>
      <c r="I249" s="815"/>
      <c r="J249" s="141">
        <v>0.23</v>
      </c>
      <c r="K249" s="6">
        <f ca="1">IF(AND(F249&gt;Control_Torque_requirement,M249=1,A249=1),COUNTIF($K$233:K248,"&lt;"&amp;$G$302)+1,$G$302)</f>
        <v>100</v>
      </c>
      <c r="M249" s="462">
        <f t="shared" ca="1" si="30"/>
        <v>1</v>
      </c>
      <c r="N249" s="6" t="str">
        <f ca="1">IFERROR(INDEX($C$234:OFFSET($C$234,$L$234-1,0),MATCH(ROW()-ROW($K$233),$K$234:OFFSET($K$234,$L$234-1,0),0)),"")</f>
        <v/>
      </c>
    </row>
    <row r="250" spans="1:14" x14ac:dyDescent="0.25">
      <c r="A250" s="453">
        <v>1</v>
      </c>
      <c r="B250" s="812"/>
      <c r="C250" s="137" t="s">
        <v>190</v>
      </c>
      <c r="D250" s="6" t="s">
        <v>191</v>
      </c>
      <c r="E250" s="141">
        <v>57.15</v>
      </c>
      <c r="F250" s="140">
        <v>1.69</v>
      </c>
      <c r="G250" s="815">
        <v>1</v>
      </c>
      <c r="H250" s="815"/>
      <c r="I250" s="815"/>
      <c r="J250" s="141">
        <v>0.23</v>
      </c>
      <c r="K250" s="6">
        <f ca="1">IF(AND(F250&gt;Control_Torque_requirement,M250=1,A250=1),COUNTIF($K$233:K249,"&lt;"&amp;$G$302)+1,$G$302)</f>
        <v>2</v>
      </c>
      <c r="M250" s="462">
        <f t="shared" ca="1" si="30"/>
        <v>1</v>
      </c>
      <c r="N250" s="6" t="str">
        <f ca="1">IFERROR(INDEX($C$234:OFFSET($C$234,$L$234-1,0),MATCH(ROW()-ROW($K$233),$K$234:OFFSET($K$234,$L$234-1,0),0)),"")</f>
        <v/>
      </c>
    </row>
    <row r="251" spans="1:14" x14ac:dyDescent="0.25">
      <c r="A251" s="453">
        <v>1</v>
      </c>
      <c r="B251" s="812"/>
      <c r="C251" s="137" t="s">
        <v>192</v>
      </c>
      <c r="D251" s="6" t="s">
        <v>193</v>
      </c>
      <c r="E251" s="154">
        <v>81.28</v>
      </c>
      <c r="F251" s="155">
        <v>2.54</v>
      </c>
      <c r="G251" s="815">
        <v>1</v>
      </c>
      <c r="H251" s="815"/>
      <c r="I251" s="815"/>
      <c r="J251" s="141">
        <v>0.23</v>
      </c>
      <c r="K251" s="6">
        <f ca="1">IF(AND(F251&gt;Control_Torque_requirement,M251=1,A251=1),COUNTIF($K$233:K250,"&lt;"&amp;$G$302)+1,$G$302)</f>
        <v>3</v>
      </c>
      <c r="M251" s="462">
        <f t="shared" ca="1" si="30"/>
        <v>1</v>
      </c>
      <c r="N251" s="6" t="str">
        <f ca="1">IFERROR(INDEX($C$234:OFFSET($C$234,$L$234-1,0),MATCH(ROW()-ROW($K$233),$K$234:OFFSET($K$234,$L$234-1,0),0)),"")</f>
        <v/>
      </c>
    </row>
    <row r="252" spans="1:14" x14ac:dyDescent="0.25">
      <c r="A252" s="453">
        <v>1</v>
      </c>
      <c r="B252" s="812"/>
      <c r="C252" s="137" t="s">
        <v>194</v>
      </c>
      <c r="D252" s="6" t="s">
        <v>195</v>
      </c>
      <c r="E252" s="141">
        <v>58.42</v>
      </c>
      <c r="F252" s="155">
        <v>2.04</v>
      </c>
      <c r="G252" s="815">
        <v>1.77</v>
      </c>
      <c r="H252" s="815"/>
      <c r="I252" s="815"/>
      <c r="J252" s="141">
        <v>0.23</v>
      </c>
      <c r="K252" s="6">
        <f ca="1">IF(AND(F252&gt;Control_Torque_requirement,M252=1,A252=1),COUNTIF($K$233:K251,"&lt;"&amp;$G$302)+1,$G$302)</f>
        <v>4</v>
      </c>
      <c r="M252" s="462">
        <f t="shared" ca="1" si="30"/>
        <v>1</v>
      </c>
      <c r="N252" s="6" t="str">
        <f ca="1">IFERROR(INDEX($C$234:OFFSET($C$234,$L$234-1,0),MATCH(ROW()-ROW($K$233),$K$234:OFFSET($K$234,$L$234-1,0),0)),"")</f>
        <v/>
      </c>
    </row>
    <row r="253" spans="1:14" x14ac:dyDescent="0.25">
      <c r="A253" s="453">
        <v>1</v>
      </c>
      <c r="B253" s="812"/>
      <c r="C253" s="137" t="s">
        <v>196</v>
      </c>
      <c r="D253" s="6" t="s">
        <v>197</v>
      </c>
      <c r="E253" s="141">
        <v>81.28</v>
      </c>
      <c r="F253" s="155">
        <v>4.5</v>
      </c>
      <c r="G253" s="815">
        <v>1.77</v>
      </c>
      <c r="H253" s="815"/>
      <c r="I253" s="815"/>
      <c r="J253" s="141">
        <v>0.23</v>
      </c>
      <c r="K253" s="6">
        <f ca="1">IF(AND(F253&gt;Control_Torque_requirement,M253=1,A253=1),COUNTIF($K$233:K252,"&lt;"&amp;$G$302)+1,$G$302)</f>
        <v>100</v>
      </c>
      <c r="M253" s="462">
        <f t="shared" ca="1" si="30"/>
        <v>0</v>
      </c>
      <c r="N253" s="6" t="str">
        <f ca="1">IFERROR(INDEX($C$234:OFFSET($C$234,$L$234-1,0),MATCH(ROW()-ROW($K$233),$K$234:OFFSET($K$234,$L$234-1,0),0)),"")</f>
        <v/>
      </c>
    </row>
    <row r="254" spans="1:14" x14ac:dyDescent="0.25">
      <c r="A254" s="453">
        <v>0</v>
      </c>
      <c r="B254" s="812"/>
      <c r="C254" s="137" t="s">
        <v>198</v>
      </c>
      <c r="D254" s="6" t="s">
        <v>199</v>
      </c>
      <c r="E254" s="154">
        <v>28.96</v>
      </c>
      <c r="F254" s="154">
        <v>0.19</v>
      </c>
      <c r="G254" s="816">
        <v>1</v>
      </c>
      <c r="H254" s="817"/>
      <c r="I254" s="818"/>
      <c r="J254" s="141">
        <v>0.23</v>
      </c>
      <c r="K254" s="6">
        <f ca="1">IF(AND(F254&gt;Control_Torque_requirement,M254=1,A254=1),COUNTIF($K$233:K253,"&lt;"&amp;$G$302)+1,$G$302)</f>
        <v>100</v>
      </c>
      <c r="M254" s="462">
        <f t="shared" ca="1" si="30"/>
        <v>0</v>
      </c>
      <c r="N254" s="6" t="str">
        <f ca="1">IFERROR(INDEX($C$234:OFFSET($C$234,$L$234-1,0),MATCH(ROW()-ROW($K$233),$K$234:OFFSET($K$234,$L$234-1,0),0)),"")</f>
        <v/>
      </c>
    </row>
    <row r="255" spans="1:14" x14ac:dyDescent="0.25">
      <c r="A255" s="453">
        <v>1</v>
      </c>
      <c r="B255" s="812"/>
      <c r="C255" s="137" t="s">
        <v>200</v>
      </c>
      <c r="D255" s="6" t="s">
        <v>201</v>
      </c>
      <c r="E255" s="154">
        <v>40.64</v>
      </c>
      <c r="F255" s="154">
        <v>0.5</v>
      </c>
      <c r="G255" s="816">
        <v>1</v>
      </c>
      <c r="H255" s="817"/>
      <c r="I255" s="818"/>
      <c r="J255" s="141">
        <v>0.23</v>
      </c>
      <c r="K255" s="6">
        <f ca="1">IF(AND(F255&gt;Control_Torque_requirement,M255=1,A255=1),COUNTIF($K$233:K254,"&lt;"&amp;$G$302)+1,$G$302)</f>
        <v>100</v>
      </c>
      <c r="M255" s="462">
        <f t="shared" ca="1" si="30"/>
        <v>1</v>
      </c>
      <c r="N255" s="6" t="str">
        <f ca="1">IFERROR(INDEX($C$234:OFFSET($C$234,$L$234-1,0),MATCH(ROW()-ROW($K$233),$K$234:OFFSET($K$234,$L$234-1,0),0)),"")</f>
        <v/>
      </c>
    </row>
    <row r="256" spans="1:14" x14ac:dyDescent="0.25">
      <c r="A256" s="453">
        <v>1</v>
      </c>
      <c r="B256" s="812"/>
      <c r="C256" s="137" t="s">
        <v>202</v>
      </c>
      <c r="D256" s="6" t="s">
        <v>203</v>
      </c>
      <c r="E256" s="154">
        <v>58.42</v>
      </c>
      <c r="F256" s="154">
        <v>1.36</v>
      </c>
      <c r="G256" s="816">
        <v>1</v>
      </c>
      <c r="H256" s="817"/>
      <c r="I256" s="818"/>
      <c r="J256" s="141">
        <v>0.23</v>
      </c>
      <c r="K256" s="6">
        <f ca="1">IF(AND(F256&gt;Control_Torque_requirement,M256=1,A256=1),COUNTIF($K$233:K255,"&lt;"&amp;$G$302)+1,$G$302)</f>
        <v>5</v>
      </c>
      <c r="M256" s="462">
        <f t="shared" ca="1" si="30"/>
        <v>1</v>
      </c>
      <c r="N256" s="6" t="str">
        <f ca="1">IFERROR(INDEX($C$234:OFFSET($C$234,$L$234-1,0),MATCH(ROW()-ROW($K$233),$K$234:OFFSET($K$234,$L$234-1,0),0)),"")</f>
        <v/>
      </c>
    </row>
    <row r="257" spans="1:14" x14ac:dyDescent="0.25">
      <c r="A257" s="453">
        <v>1</v>
      </c>
      <c r="B257" s="813"/>
      <c r="C257" s="137" t="s">
        <v>204</v>
      </c>
      <c r="D257" s="6" t="s">
        <v>205</v>
      </c>
      <c r="E257" s="154">
        <v>81.28</v>
      </c>
      <c r="F257" s="154">
        <v>2.04</v>
      </c>
      <c r="G257" s="816">
        <v>1</v>
      </c>
      <c r="H257" s="817"/>
      <c r="I257" s="818"/>
      <c r="J257" s="141">
        <v>0.23</v>
      </c>
      <c r="K257" s="6">
        <f ca="1">IF(AND(F257&gt;Control_Torque_requirement,M257=1,A257=1),COUNTIF($K$233:K256,"&lt;"&amp;$G$302)+1,$G$302)</f>
        <v>6</v>
      </c>
      <c r="M257" s="462">
        <f t="shared" ca="1" si="30"/>
        <v>1</v>
      </c>
      <c r="N257" s="6" t="str">
        <f ca="1">IFERROR(INDEX($C$234:OFFSET($C$234,$L$234-1,0),MATCH(ROW()-ROW($K$233),$K$234:OFFSET($K$234,$L$234-1,0),0)),"")</f>
        <v/>
      </c>
    </row>
    <row r="258" spans="1:14" x14ac:dyDescent="0.25">
      <c r="K258" s="425"/>
      <c r="L258" s="425"/>
      <c r="M258" s="425"/>
      <c r="N258" s="425"/>
    </row>
    <row r="260" spans="1:14" x14ac:dyDescent="0.25">
      <c r="C260" s="808" t="s">
        <v>206</v>
      </c>
      <c r="D260" s="808"/>
      <c r="E260" s="808"/>
    </row>
    <row r="261" spans="1:14" x14ac:dyDescent="0.25">
      <c r="C261" s="156" t="s">
        <v>207</v>
      </c>
      <c r="D261" s="157" t="s">
        <v>39</v>
      </c>
      <c r="E261" s="157" t="s">
        <v>208</v>
      </c>
    </row>
    <row r="262" spans="1:14" x14ac:dyDescent="0.25">
      <c r="C262" s="138" t="s">
        <v>209</v>
      </c>
      <c r="D262" s="138" t="s">
        <v>210</v>
      </c>
      <c r="E262" s="158">
        <v>2</v>
      </c>
    </row>
    <row r="263" spans="1:14" x14ac:dyDescent="0.25">
      <c r="C263" s="6" t="s">
        <v>211</v>
      </c>
      <c r="D263" s="138" t="s">
        <v>212</v>
      </c>
      <c r="E263" s="141">
        <v>6.5</v>
      </c>
    </row>
    <row r="264" spans="1:14" x14ac:dyDescent="0.25">
      <c r="C264" s="6" t="s">
        <v>213</v>
      </c>
      <c r="D264" s="138" t="s">
        <v>214</v>
      </c>
      <c r="E264" s="141">
        <v>8</v>
      </c>
    </row>
    <row r="265" spans="1:14" x14ac:dyDescent="0.25">
      <c r="C265" s="6" t="s">
        <v>215</v>
      </c>
      <c r="D265" s="138" t="s">
        <v>216</v>
      </c>
      <c r="E265" s="141">
        <v>16</v>
      </c>
    </row>
    <row r="266" spans="1:14" x14ac:dyDescent="0.25">
      <c r="C266" s="6" t="s">
        <v>217</v>
      </c>
      <c r="D266" s="138" t="s">
        <v>218</v>
      </c>
      <c r="E266" s="141">
        <v>7.5</v>
      </c>
    </row>
    <row r="267" spans="1:14" x14ac:dyDescent="0.25">
      <c r="C267" s="6"/>
      <c r="D267" s="138"/>
      <c r="E267" s="141"/>
    </row>
    <row r="268" spans="1:14" x14ac:dyDescent="0.25">
      <c r="C268" s="803" t="s">
        <v>219</v>
      </c>
      <c r="D268" s="804"/>
      <c r="E268" s="804"/>
      <c r="F268" s="804"/>
      <c r="G268" s="804"/>
      <c r="H268" s="804"/>
      <c r="I268" s="804"/>
      <c r="J268" s="804"/>
      <c r="K268" s="804"/>
      <c r="N268" s="469" t="s">
        <v>806</v>
      </c>
    </row>
    <row r="269" spans="1:14" ht="15.75" thickBot="1" x14ac:dyDescent="0.3">
      <c r="A269" s="468" t="s">
        <v>778</v>
      </c>
      <c r="C269" s="156" t="s">
        <v>207</v>
      </c>
      <c r="D269" s="157" t="s">
        <v>39</v>
      </c>
      <c r="E269" s="157" t="s">
        <v>208</v>
      </c>
      <c r="F269" s="157" t="s">
        <v>767</v>
      </c>
      <c r="G269" s="6" t="s">
        <v>622</v>
      </c>
      <c r="H269" s="469" t="s">
        <v>796</v>
      </c>
      <c r="I269" s="157" t="s">
        <v>797</v>
      </c>
      <c r="J269" s="6" t="s">
        <v>798</v>
      </c>
      <c r="K269" s="462" t="s">
        <v>746</v>
      </c>
      <c r="N269" s="469" t="str">
        <f ca="1">VLOOKUP(tube_selected,tube_lookup,7,FALSE)</f>
        <v>RTEA4</v>
      </c>
    </row>
    <row r="270" spans="1:14" ht="30" x14ac:dyDescent="0.25">
      <c r="A270" s="453">
        <v>1</v>
      </c>
      <c r="C270" s="196" t="s">
        <v>376</v>
      </c>
      <c r="D270" s="200" t="s">
        <v>380</v>
      </c>
      <c r="E270" s="202">
        <v>0.2</v>
      </c>
      <c r="F270" s="448" t="str">
        <f>IF(ISNUMBER(FIND("18mm",D270)),"DM18",IF(ISNUMBER(FIND("25mm",D270)),"DM25",IF(ISNUMBER(FIND("28mm",D270)),"DM28",IF(ISNUMBER(FIND("35mm",D270)),"DM35",IF(ISNUMBER(FIND("45mm",D270)),"DM45","")))))</f>
        <v>DM18</v>
      </c>
      <c r="G270" s="6">
        <f ca="1">IF(AND(E270&gt;Control_Torque_requirement,I270=1,A270=1),COUNTIF($G$269:G269,"&lt;"&amp;$G$302)+1,$G$302)</f>
        <v>100</v>
      </c>
      <c r="H270" s="469">
        <f>COUNTA(C269:C301)</f>
        <v>33</v>
      </c>
      <c r="I270" s="6" t="str">
        <f t="shared" ref="I270:I301" ca="1" si="31">IFERROR(INDEX(System_Compatibility_Matrix,MATCH(F270,System_Compatibility_Control,0),MATCH(system_selected,System_Compatibility_Tube,0)), "NOT ON LIST")</f>
        <v>NOT ON LIST</v>
      </c>
      <c r="J270" s="6" t="str">
        <f ca="1">IFERROR(INDEX($C$270:OFFSET($C$270,$H$270-1,0),MATCH(ROW()-ROW($G$269),$G$270:OFFSET($G$270,$H$270-1,0),0)),"")</f>
        <v>MTDCRF25-1.1</v>
      </c>
      <c r="K270" s="462">
        <f ca="1">IFERROR(MATCH("",J270:J301,0)-1,"")</f>
        <v>4</v>
      </c>
    </row>
    <row r="271" spans="1:14" ht="30" x14ac:dyDescent="0.25">
      <c r="A271" s="453">
        <v>1</v>
      </c>
      <c r="C271" s="220" t="s">
        <v>389</v>
      </c>
      <c r="D271" s="223" t="s">
        <v>392</v>
      </c>
      <c r="E271" s="225">
        <v>0.2</v>
      </c>
      <c r="F271" s="448" t="str">
        <f t="shared" ref="F271:F301" si="32">IF(ISNUMBER(FIND("18mm",D271)),"DM18",IF(ISNUMBER(FIND("25mm",D271)),"DM25",IF(ISNUMBER(FIND("28mm",D271)),"DM28",IF(ISNUMBER(FIND("35mm",D271)),"DM35",IF(ISNUMBER(FIND("45mm",D271)),"DM45")))))</f>
        <v>DM18</v>
      </c>
      <c r="G271" s="6">
        <f ca="1">IF(AND(E271&gt;Control_Torque_requirement,I271=1,A271=1),COUNTIF($G$269:G270,"&lt;"&amp;$G$302)+1,$G$302)</f>
        <v>100</v>
      </c>
      <c r="I271" s="6" t="str">
        <f t="shared" ca="1" si="31"/>
        <v>NOT ON LIST</v>
      </c>
      <c r="J271" s="6" t="str">
        <f ca="1">IFERROR(INDEX($C$270:OFFSET($C$270,$H$270-1,0),MATCH(ROW()-ROW($G$269),$G$270:OFFSET($G$270,$H$270-1,0),0)),"")</f>
        <v>MTDCBRF25-1.1</v>
      </c>
    </row>
    <row r="272" spans="1:14" ht="30" x14ac:dyDescent="0.25">
      <c r="A272" s="453">
        <v>1</v>
      </c>
      <c r="C272" s="238" t="s">
        <v>402</v>
      </c>
      <c r="D272" s="240" t="s">
        <v>404</v>
      </c>
      <c r="E272" s="241">
        <v>1.1000000000000001</v>
      </c>
      <c r="F272" s="448" t="str">
        <f t="shared" si="32"/>
        <v>DM25</v>
      </c>
      <c r="G272" s="6">
        <f ca="1">IF(AND(E272&gt;Control_Torque_requirement,I272=1,A272=1),COUNTIF($G$269:G271,"&lt;"&amp;$G$302)+1,$G$302)</f>
        <v>1</v>
      </c>
      <c r="I272" s="462">
        <f t="shared" ca="1" si="31"/>
        <v>1</v>
      </c>
      <c r="J272" s="6" t="str">
        <f ca="1">IFERROR(INDEX($C$270:OFFSET($C$270,$H$270-1,0),MATCH(ROW()-ROW($G$269),$G$270:OFFSET($G$270,$H$270-1,0),0)),"")</f>
        <v>MTDCRFQ28-2</v>
      </c>
    </row>
    <row r="273" spans="1:10" ht="45" x14ac:dyDescent="0.25">
      <c r="A273" s="453">
        <v>1</v>
      </c>
      <c r="C273" s="238" t="s">
        <v>405</v>
      </c>
      <c r="D273" s="240" t="s">
        <v>407</v>
      </c>
      <c r="E273" s="241">
        <v>1.1000000000000001</v>
      </c>
      <c r="F273" s="448" t="str">
        <f t="shared" si="32"/>
        <v>DM25</v>
      </c>
      <c r="G273" s="6">
        <f ca="1">IF(AND(E273&gt;Control_Torque_requirement,I273=1,A273=1),COUNTIF($G$269:G272,"&lt;"&amp;$G$302)+1,$G$302)</f>
        <v>2</v>
      </c>
      <c r="I273" s="462">
        <f t="shared" ca="1" si="31"/>
        <v>1</v>
      </c>
      <c r="J273" s="6" t="str">
        <f ca="1">IFERROR(INDEX($C$270:OFFSET($C$270,$H$270-1,0),MATCH(ROW()-ROW($G$269),$G$270:OFFSET($G$270,$H$270-1,0),0)),"")</f>
        <v>MTDCBRFQ28-2</v>
      </c>
    </row>
    <row r="274" spans="1:10" ht="30" x14ac:dyDescent="0.25">
      <c r="A274" s="453">
        <v>1</v>
      </c>
      <c r="C274" s="224" t="s">
        <v>408</v>
      </c>
      <c r="D274" s="223" t="s">
        <v>410</v>
      </c>
      <c r="E274" s="225">
        <v>2</v>
      </c>
      <c r="F274" s="448" t="str">
        <f t="shared" si="32"/>
        <v>DM28</v>
      </c>
      <c r="G274" s="6">
        <f ca="1">IF(AND(E274&gt;Control_Torque_requirement,I274=1,A274=1),COUNTIF($G$269:G273,"&lt;"&amp;$G$302)+1,$G$302)</f>
        <v>3</v>
      </c>
      <c r="I274" s="462">
        <f t="shared" ca="1" si="31"/>
        <v>1</v>
      </c>
      <c r="J274" s="6" t="str">
        <f ca="1">IFERROR(INDEX($C$270:OFFSET($C$270,$H$270-1,0),MATCH(ROW()-ROW($G$269),$G$270:OFFSET($G$270,$H$270-1,0),0)),"")</f>
        <v/>
      </c>
    </row>
    <row r="275" spans="1:10" ht="60" x14ac:dyDescent="0.25">
      <c r="A275" s="453">
        <v>1</v>
      </c>
      <c r="C275" s="224" t="s">
        <v>411</v>
      </c>
      <c r="D275" s="223" t="s">
        <v>413</v>
      </c>
      <c r="E275" s="225">
        <v>2</v>
      </c>
      <c r="F275" s="448" t="str">
        <f t="shared" si="32"/>
        <v>DM28</v>
      </c>
      <c r="G275" s="6">
        <f ca="1">IF(AND(E275&gt;Control_Torque_requirement,I275=1,A275=1),COUNTIF($G$269:G274,"&lt;"&amp;$G$302)+1,$G$302)</f>
        <v>4</v>
      </c>
      <c r="I275" s="462">
        <f t="shared" ca="1" si="31"/>
        <v>1</v>
      </c>
      <c r="J275" s="6" t="str">
        <f ca="1">IFERROR(INDEX($C$270:OFFSET($C$270,$H$270-1,0),MATCH(ROW()-ROW($G$269),$G$270:OFFSET($G$270,$H$270-1,0),0)),"")</f>
        <v/>
      </c>
    </row>
    <row r="276" spans="1:10" ht="30" x14ac:dyDescent="0.25">
      <c r="A276" s="453">
        <v>1</v>
      </c>
      <c r="C276" s="238" t="s">
        <v>414</v>
      </c>
      <c r="D276" s="240" t="s">
        <v>416</v>
      </c>
      <c r="E276" s="241">
        <v>3</v>
      </c>
      <c r="F276" s="448" t="str">
        <f t="shared" si="32"/>
        <v>DM35</v>
      </c>
      <c r="G276" s="6">
        <f ca="1">IF(AND(E276&gt;Control_Torque_requirement,I276=1,A276=1),COUNTIF($G$269:G275,"&lt;"&amp;$G$302)+1,$G$302)</f>
        <v>100</v>
      </c>
      <c r="I276" s="462">
        <f t="shared" ca="1" si="31"/>
        <v>0</v>
      </c>
      <c r="J276" s="6" t="str">
        <f ca="1">IFERROR(INDEX($C$270:OFFSET($C$270,$H$270-1,0),MATCH(ROW()-ROW($G$269),$G$270:OFFSET($G$270,$H$270-1,0),0)),"")</f>
        <v/>
      </c>
    </row>
    <row r="277" spans="1:10" ht="45" x14ac:dyDescent="0.25">
      <c r="A277" s="453">
        <v>1</v>
      </c>
      <c r="C277" s="238" t="s">
        <v>417</v>
      </c>
      <c r="D277" s="240" t="s">
        <v>419</v>
      </c>
      <c r="E277" s="241">
        <v>3</v>
      </c>
      <c r="F277" s="448" t="str">
        <f t="shared" si="32"/>
        <v>DM35</v>
      </c>
      <c r="G277" s="6">
        <f ca="1">IF(AND(E277&gt;Control_Torque_requirement,I277=1,A277=1),COUNTIF($G$269:G276,"&lt;"&amp;$G$302)+1,$G$302)</f>
        <v>100</v>
      </c>
      <c r="I277" s="462">
        <f t="shared" ca="1" si="31"/>
        <v>0</v>
      </c>
      <c r="J277" s="6" t="str">
        <f ca="1">IFERROR(INDEX($C$270:OFFSET($C$270,$H$270-1,0),MATCH(ROW()-ROW($G$269),$G$270:OFFSET($G$270,$H$270-1,0),0)),"")</f>
        <v/>
      </c>
    </row>
    <row r="278" spans="1:10" ht="30" x14ac:dyDescent="0.25">
      <c r="A278" s="453">
        <v>1</v>
      </c>
      <c r="C278" s="224" t="s">
        <v>420</v>
      </c>
      <c r="D278" s="223" t="s">
        <v>422</v>
      </c>
      <c r="E278" s="225">
        <v>3</v>
      </c>
      <c r="F278" s="448" t="str">
        <f t="shared" si="32"/>
        <v>DM45</v>
      </c>
      <c r="G278" s="6">
        <f ca="1">IF(AND(E278&gt;Control_Torque_requirement,I278=1,A278=1),COUNTIF($G$269:G277,"&lt;"&amp;$G$302)+1,$G$302)</f>
        <v>100</v>
      </c>
      <c r="I278" s="462">
        <f t="shared" ca="1" si="31"/>
        <v>0</v>
      </c>
      <c r="J278" s="6" t="str">
        <f ca="1">IFERROR(INDEX($C$270:OFFSET($C$270,$H$270-1,0),MATCH(ROW()-ROW($G$269),$G$270:OFFSET($G$270,$H$270-1,0),0)),"")</f>
        <v/>
      </c>
    </row>
    <row r="279" spans="1:10" ht="30" x14ac:dyDescent="0.25">
      <c r="A279" s="453">
        <v>1</v>
      </c>
      <c r="C279" s="224" t="s">
        <v>423</v>
      </c>
      <c r="D279" s="223" t="s">
        <v>425</v>
      </c>
      <c r="E279" s="225">
        <v>10</v>
      </c>
      <c r="F279" s="448" t="str">
        <f t="shared" si="32"/>
        <v>DM45</v>
      </c>
      <c r="G279" s="6">
        <f ca="1">IF(AND(E279&gt;Control_Torque_requirement,I279=1,A279=1),COUNTIF($G$269:G278,"&lt;"&amp;$G$302)+1,$G$302)</f>
        <v>100</v>
      </c>
      <c r="I279" s="462">
        <f t="shared" ca="1" si="31"/>
        <v>0</v>
      </c>
      <c r="J279" s="6" t="str">
        <f ca="1">IFERROR(INDEX($C$270:OFFSET($C$270,$H$270-1,0),MATCH(ROW()-ROW($G$269),$G$270:OFFSET($G$270,$H$270-1,0),0)),"")</f>
        <v/>
      </c>
    </row>
    <row r="280" spans="1:10" ht="45" x14ac:dyDescent="0.25">
      <c r="A280" s="453">
        <v>1</v>
      </c>
      <c r="C280" s="224" t="s">
        <v>426</v>
      </c>
      <c r="D280" s="223" t="s">
        <v>428</v>
      </c>
      <c r="E280" s="225">
        <v>3</v>
      </c>
      <c r="F280" s="448" t="str">
        <f t="shared" si="32"/>
        <v>DM45</v>
      </c>
      <c r="G280" s="6">
        <f ca="1">IF(AND(E280&gt;Control_Torque_requirement,I280=1,A280=1),COUNTIF($G$269:G279,"&lt;"&amp;$G$302)+1,$G$302)</f>
        <v>100</v>
      </c>
      <c r="I280" s="462">
        <f t="shared" ca="1" si="31"/>
        <v>0</v>
      </c>
      <c r="J280" s="6" t="str">
        <f ca="1">IFERROR(INDEX($C$270:OFFSET($C$270,$H$270-1,0),MATCH(ROW()-ROW($G$269),$G$270:OFFSET($G$270,$H$270-1,0),0)),"")</f>
        <v/>
      </c>
    </row>
    <row r="281" spans="1:10" ht="30" x14ac:dyDescent="0.25">
      <c r="A281" s="453">
        <v>1</v>
      </c>
      <c r="C281" s="224" t="s">
        <v>429</v>
      </c>
      <c r="D281" s="223" t="s">
        <v>431</v>
      </c>
      <c r="E281" s="225">
        <v>10</v>
      </c>
      <c r="F281" s="448" t="str">
        <f t="shared" si="32"/>
        <v>DM45</v>
      </c>
      <c r="G281" s="6">
        <f ca="1">IF(AND(E281&gt;Control_Torque_requirement,I281=1,A281=1),COUNTIF($G$269:G280,"&lt;"&amp;$G$302)+1,$G$302)</f>
        <v>100</v>
      </c>
      <c r="I281" s="462">
        <f t="shared" ca="1" si="31"/>
        <v>0</v>
      </c>
      <c r="J281" s="6" t="str">
        <f ca="1">IFERROR(INDEX($C$270:OFFSET($C$270,$H$270-1,0),MATCH(ROW()-ROW($G$269),$G$270:OFFSET($G$270,$H$270-1,0),0)),"")</f>
        <v/>
      </c>
    </row>
    <row r="282" spans="1:10" ht="30" x14ac:dyDescent="0.25">
      <c r="A282" s="453">
        <v>1</v>
      </c>
      <c r="C282" s="220" t="s">
        <v>450</v>
      </c>
      <c r="D282" s="301" t="s">
        <v>453</v>
      </c>
      <c r="E282" s="225">
        <v>6</v>
      </c>
      <c r="F282" s="448" t="str">
        <f t="shared" si="32"/>
        <v>DM35</v>
      </c>
      <c r="G282" s="6">
        <f ca="1">IF(AND(E282&gt;Control_Torque_requirement,I282=1,A282=1),COUNTIF($G$269:G281,"&lt;"&amp;$G$302)+1,$G$302)</f>
        <v>100</v>
      </c>
      <c r="I282" s="462">
        <f t="shared" ca="1" si="31"/>
        <v>0</v>
      </c>
      <c r="J282" s="6" t="str">
        <f ca="1">IFERROR(INDEX($C$270:OFFSET($C$270,$H$270-1,0),MATCH(ROW()-ROW($G$269),$G$270:OFFSET($G$270,$H$270-1,0),0)),"")</f>
        <v/>
      </c>
    </row>
    <row r="283" spans="1:10" ht="45" x14ac:dyDescent="0.25">
      <c r="A283" s="453">
        <v>1</v>
      </c>
      <c r="C283" s="220" t="s">
        <v>456</v>
      </c>
      <c r="D283" s="301" t="s">
        <v>458</v>
      </c>
      <c r="E283" s="225">
        <v>6</v>
      </c>
      <c r="F283" s="448" t="str">
        <f t="shared" si="32"/>
        <v>DM35</v>
      </c>
      <c r="G283" s="6">
        <f ca="1">IF(AND(E283&gt;Control_Torque_requirement,I283=1,A283=1),COUNTIF($G$269:G282,"&lt;"&amp;$G$302)+1,$G$302)</f>
        <v>100</v>
      </c>
      <c r="I283" s="462">
        <f t="shared" ca="1" si="31"/>
        <v>0</v>
      </c>
      <c r="J283" s="6" t="str">
        <f ca="1">IFERROR(INDEX($C$270:OFFSET($C$270,$H$270-1,0),MATCH(ROW()-ROW($G$269),$G$270:OFFSET($G$270,$H$270-1,0),0)),"")</f>
        <v/>
      </c>
    </row>
    <row r="284" spans="1:10" ht="30" x14ac:dyDescent="0.25">
      <c r="A284" s="453">
        <v>1</v>
      </c>
      <c r="C284" s="224" t="s">
        <v>459</v>
      </c>
      <c r="D284" s="301" t="s">
        <v>461</v>
      </c>
      <c r="E284" s="225">
        <v>6</v>
      </c>
      <c r="F284" s="448" t="str">
        <f t="shared" si="32"/>
        <v>DM35</v>
      </c>
      <c r="G284" s="6">
        <f ca="1">IF(AND(E284&gt;Control_Torque_requirement,I284=1,A284=1),COUNTIF($G$269:G283,"&lt;"&amp;$G$302)+1,$G$302)</f>
        <v>100</v>
      </c>
      <c r="I284" s="462">
        <f t="shared" ca="1" si="31"/>
        <v>0</v>
      </c>
      <c r="J284" s="6" t="str">
        <f ca="1">IFERROR(INDEX($C$270:OFFSET($C$270,$H$270-1,0),MATCH(ROW()-ROW($G$269),$G$270:OFFSET($G$270,$H$270-1,0),0)),"")</f>
        <v/>
      </c>
    </row>
    <row r="285" spans="1:10" ht="30" x14ac:dyDescent="0.25">
      <c r="A285" s="453">
        <v>1</v>
      </c>
      <c r="C285" s="224" t="s">
        <v>462</v>
      </c>
      <c r="D285" s="301" t="s">
        <v>461</v>
      </c>
      <c r="E285" s="225">
        <v>6</v>
      </c>
      <c r="F285" s="448" t="str">
        <f t="shared" si="32"/>
        <v>DM35</v>
      </c>
      <c r="G285" s="6">
        <f ca="1">IF(AND(E285&gt;Control_Torque_requirement,I285=1,A285=1),COUNTIF($G$269:G284,"&lt;"&amp;$G$302)+1,$G$302)</f>
        <v>100</v>
      </c>
      <c r="I285" s="462">
        <f t="shared" ca="1" si="31"/>
        <v>0</v>
      </c>
      <c r="J285" s="6" t="str">
        <f ca="1">IFERROR(INDEX($C$270:OFFSET($C$270,$H$270-1,0),MATCH(ROW()-ROW($G$269),$G$270:OFFSET($G$270,$H$270-1,0),0)),"")</f>
        <v/>
      </c>
    </row>
    <row r="286" spans="1:10" ht="30" x14ac:dyDescent="0.25">
      <c r="A286" s="453">
        <v>1</v>
      </c>
      <c r="C286" s="224" t="s">
        <v>463</v>
      </c>
      <c r="D286" s="301" t="s">
        <v>465</v>
      </c>
      <c r="E286" s="225">
        <v>6</v>
      </c>
      <c r="F286" s="448" t="str">
        <f t="shared" si="32"/>
        <v>DM35</v>
      </c>
      <c r="G286" s="6">
        <f ca="1">IF(AND(E286&gt;Control_Torque_requirement,I286=1,A286=1),COUNTIF($G$269:G285,"&lt;"&amp;$G$302)+1,$G$302)</f>
        <v>100</v>
      </c>
      <c r="I286" s="462">
        <f t="shared" ca="1" si="31"/>
        <v>0</v>
      </c>
      <c r="J286" s="6" t="str">
        <f ca="1">IFERROR(INDEX($C$270:OFFSET($C$270,$H$270-1,0),MATCH(ROW()-ROW($G$269),$G$270:OFFSET($G$270,$H$270-1,0),0)),"")</f>
        <v/>
      </c>
    </row>
    <row r="287" spans="1:10" ht="45" x14ac:dyDescent="0.25">
      <c r="A287" s="453">
        <v>1</v>
      </c>
      <c r="C287" s="238" t="s">
        <v>466</v>
      </c>
      <c r="D287" s="305" t="s">
        <v>468</v>
      </c>
      <c r="E287" s="241">
        <v>10</v>
      </c>
      <c r="F287" s="448" t="str">
        <f t="shared" si="32"/>
        <v>DM45</v>
      </c>
      <c r="G287" s="6">
        <f ca="1">IF(AND(E287&gt;Control_Torque_requirement,I287=1,A287=1),COUNTIF($G$269:G286,"&lt;"&amp;$G$302)+1,$G$302)</f>
        <v>100</v>
      </c>
      <c r="I287" s="462">
        <f t="shared" ca="1" si="31"/>
        <v>0</v>
      </c>
      <c r="J287" s="6" t="str">
        <f ca="1">IFERROR(INDEX($C$270:OFFSET($C$270,$H$270-1,0),MATCH(ROW()-ROW($G$269),$G$270:OFFSET($G$270,$H$270-1,0),0)),"")</f>
        <v/>
      </c>
    </row>
    <row r="288" spans="1:10" ht="30" x14ac:dyDescent="0.25">
      <c r="A288" s="453">
        <v>1</v>
      </c>
      <c r="C288" s="238" t="s">
        <v>469</v>
      </c>
      <c r="D288" s="305" t="s">
        <v>471</v>
      </c>
      <c r="E288" s="241">
        <v>20</v>
      </c>
      <c r="F288" s="448" t="str">
        <f t="shared" si="32"/>
        <v>DM45</v>
      </c>
      <c r="G288" s="6">
        <f ca="1">IF(AND(E288&gt;Control_Torque_requirement,I288=1,A288=1),COUNTIF($G$269:G287,"&lt;"&amp;$G$302)+1,$G$302)</f>
        <v>100</v>
      </c>
      <c r="I288" s="462">
        <f t="shared" ca="1" si="31"/>
        <v>0</v>
      </c>
      <c r="J288" s="6" t="str">
        <f ca="1">IFERROR(INDEX($C$270:OFFSET($C$270,$H$270-1,0),MATCH(ROW()-ROW($G$269),$G$270:OFFSET($G$270,$H$270-1,0),0)),"")</f>
        <v/>
      </c>
    </row>
    <row r="289" spans="1:11" ht="30" x14ac:dyDescent="0.25">
      <c r="A289" s="453">
        <v>1</v>
      </c>
      <c r="C289" s="238" t="s">
        <v>472</v>
      </c>
      <c r="D289" s="305" t="s">
        <v>474</v>
      </c>
      <c r="E289" s="241">
        <v>10</v>
      </c>
      <c r="F289" s="448" t="str">
        <f t="shared" si="32"/>
        <v>DM45</v>
      </c>
      <c r="G289" s="6">
        <f ca="1">IF(AND(E289&gt;Control_Torque_requirement,I289=1,A289=1),COUNTIF($G$269:G288,"&lt;"&amp;$G$302)+1,$G$302)</f>
        <v>100</v>
      </c>
      <c r="I289" s="462">
        <f t="shared" ca="1" si="31"/>
        <v>0</v>
      </c>
      <c r="J289" s="6" t="str">
        <f ca="1">IFERROR(INDEX($C$270:OFFSET($C$270,$H$270-1,0),MATCH(ROW()-ROW($G$269),$G$270:OFFSET($G$270,$H$270-1,0),0)),"")</f>
        <v/>
      </c>
    </row>
    <row r="290" spans="1:11" ht="30" x14ac:dyDescent="0.25">
      <c r="A290" s="453">
        <v>1</v>
      </c>
      <c r="C290" s="238" t="s">
        <v>475</v>
      </c>
      <c r="D290" s="305" t="s">
        <v>474</v>
      </c>
      <c r="E290" s="241">
        <v>10</v>
      </c>
      <c r="F290" s="448" t="str">
        <f t="shared" si="32"/>
        <v>DM45</v>
      </c>
      <c r="G290" s="6">
        <f ca="1">IF(AND(E290&gt;Control_Torque_requirement,I290=1,A290=1),COUNTIF($G$269:G289,"&lt;"&amp;$G$302)+1,$G$302)</f>
        <v>100</v>
      </c>
      <c r="I290" s="462">
        <f t="shared" ca="1" si="31"/>
        <v>0</v>
      </c>
      <c r="J290" s="6" t="str">
        <f ca="1">IFERROR(INDEX($C$270:OFFSET($C$270,$H$270-1,0),MATCH(ROW()-ROW($G$269),$G$270:OFFSET($G$270,$H$270-1,0),0)),"")</f>
        <v/>
      </c>
    </row>
    <row r="291" spans="1:11" ht="30" x14ac:dyDescent="0.25">
      <c r="A291" s="453">
        <v>1</v>
      </c>
      <c r="C291" s="308" t="s">
        <v>476</v>
      </c>
      <c r="D291" s="312" t="s">
        <v>478</v>
      </c>
      <c r="E291" s="313">
        <v>15</v>
      </c>
      <c r="F291" s="448" t="str">
        <f t="shared" si="32"/>
        <v>DM45</v>
      </c>
      <c r="G291" s="6">
        <f ca="1">IF(AND(E291&gt;Control_Torque_requirement,I291=1,A291=1),COUNTIF($G$269:G290,"&lt;"&amp;$G$302)+1,$G$302)</f>
        <v>100</v>
      </c>
      <c r="I291" s="462">
        <f t="shared" ca="1" si="31"/>
        <v>0</v>
      </c>
      <c r="J291" s="6" t="str">
        <f ca="1">IFERROR(INDEX($C$270:OFFSET($C$270,$H$270-1,0),MATCH(ROW()-ROW($G$269),$G$270:OFFSET($G$270,$H$270-1,0),0)),"")</f>
        <v/>
      </c>
    </row>
    <row r="292" spans="1:11" ht="30" x14ac:dyDescent="0.25">
      <c r="A292" s="453">
        <v>1</v>
      </c>
      <c r="C292" s="238" t="s">
        <v>490</v>
      </c>
      <c r="D292" s="305" t="s">
        <v>474</v>
      </c>
      <c r="E292" s="241">
        <v>10</v>
      </c>
      <c r="F292" s="448" t="str">
        <f t="shared" si="32"/>
        <v>DM45</v>
      </c>
      <c r="G292" s="6">
        <f ca="1">IF(AND(E292&gt;Control_Torque_requirement,I292=1,A292=1),COUNTIF($G$269:G291,"&lt;"&amp;$G$302)+1,$G$302)</f>
        <v>100</v>
      </c>
      <c r="I292" s="462">
        <f t="shared" ca="1" si="31"/>
        <v>0</v>
      </c>
      <c r="J292" s="6" t="str">
        <f ca="1">IFERROR(INDEX($C$270:OFFSET($C$270,$H$270-1,0),MATCH(ROW()-ROW($G$269),$G$270:OFFSET($G$270,$H$270-1,0),0)),"")</f>
        <v/>
      </c>
    </row>
    <row r="293" spans="1:11" ht="45" x14ac:dyDescent="0.25">
      <c r="A293" s="453">
        <v>1</v>
      </c>
      <c r="C293" s="238" t="s">
        <v>491</v>
      </c>
      <c r="D293" s="305" t="s">
        <v>492</v>
      </c>
      <c r="E293" s="241">
        <v>10</v>
      </c>
      <c r="F293" s="448" t="str">
        <f t="shared" si="32"/>
        <v>DM45</v>
      </c>
      <c r="G293" s="6">
        <f ca="1">IF(AND(E293&gt;Control_Torque_requirement,I293=1,A293=1),COUNTIF($G$269:G292,"&lt;"&amp;$G$302)+1,$G$302)</f>
        <v>100</v>
      </c>
      <c r="I293" s="462">
        <f t="shared" ca="1" si="31"/>
        <v>0</v>
      </c>
      <c r="J293" s="6" t="str">
        <f ca="1">IFERROR(INDEX($C$270:OFFSET($C$270,$H$270-1,0),MATCH(ROW()-ROW($G$269),$G$270:OFFSET($G$270,$H$270-1,0),0)),"")</f>
        <v/>
      </c>
    </row>
    <row r="294" spans="1:11" ht="30" x14ac:dyDescent="0.25">
      <c r="A294" s="453">
        <v>1</v>
      </c>
      <c r="C294" s="238" t="s">
        <v>493</v>
      </c>
      <c r="D294" s="312" t="s">
        <v>478</v>
      </c>
      <c r="E294" s="313">
        <v>15</v>
      </c>
      <c r="F294" s="448" t="str">
        <f t="shared" si="32"/>
        <v>DM45</v>
      </c>
      <c r="G294" s="6">
        <f ca="1">IF(AND(E294&gt;Control_Torque_requirement,I294=1,A294=1),COUNTIF($G$269:G293,"&lt;"&amp;$G$302)+1,$G$302)</f>
        <v>100</v>
      </c>
      <c r="I294" s="462">
        <f t="shared" ca="1" si="31"/>
        <v>0</v>
      </c>
      <c r="J294" s="6" t="str">
        <f ca="1">IFERROR(INDEX($C$270:OFFSET($C$270,$H$270-1,0),MATCH(ROW()-ROW($G$269),$G$270:OFFSET($G$270,$H$270-1,0),0)),"")</f>
        <v/>
      </c>
    </row>
    <row r="295" spans="1:11" x14ac:dyDescent="0.25">
      <c r="A295" s="453">
        <v>0</v>
      </c>
      <c r="C295" s="340" t="s">
        <v>494</v>
      </c>
      <c r="D295" s="341" t="s">
        <v>497</v>
      </c>
      <c r="E295" s="342">
        <v>6</v>
      </c>
      <c r="F295" s="448" t="b">
        <f t="shared" si="32"/>
        <v>0</v>
      </c>
      <c r="G295" s="6">
        <f ca="1">IF(AND(E295&gt;Control_Torque_requirement,I295=1,A295=1),COUNTIF($G$269:G294,"&lt;"&amp;$G$302)+1,$G$302)</f>
        <v>100</v>
      </c>
      <c r="I295" s="462" t="str">
        <f t="shared" ca="1" si="31"/>
        <v>NOT ON LIST</v>
      </c>
      <c r="J295" s="6" t="str">
        <f ca="1">IFERROR(INDEX($C$270:OFFSET($C$270,$H$270-1,0),MATCH(ROW()-ROW($G$269),$G$270:OFFSET($G$270,$H$270-1,0),0)),"")</f>
        <v/>
      </c>
    </row>
    <row r="296" spans="1:11" x14ac:dyDescent="0.25">
      <c r="A296" s="453">
        <v>0</v>
      </c>
      <c r="C296" s="340" t="s">
        <v>499</v>
      </c>
      <c r="D296" s="341" t="s">
        <v>500</v>
      </c>
      <c r="E296" s="342">
        <v>6</v>
      </c>
      <c r="F296" s="448" t="b">
        <f t="shared" si="32"/>
        <v>0</v>
      </c>
      <c r="G296" s="6">
        <f ca="1">IF(AND(E296&gt;Control_Torque_requirement,I296=1,A296=1),COUNTIF($G$269:G295,"&lt;"&amp;$G$302)+1,$G$302)</f>
        <v>100</v>
      </c>
      <c r="I296" s="462" t="str">
        <f t="shared" ca="1" si="31"/>
        <v>NOT ON LIST</v>
      </c>
      <c r="J296" s="6" t="str">
        <f ca="1">IFERROR(INDEX($C$270:OFFSET($C$270,$H$270-1,0),MATCH(ROW()-ROW($G$269),$G$270:OFFSET($G$270,$H$270-1,0),0)),"")</f>
        <v/>
      </c>
    </row>
    <row r="297" spans="1:11" x14ac:dyDescent="0.25">
      <c r="A297" s="453">
        <v>0</v>
      </c>
      <c r="C297" s="347" t="s">
        <v>501</v>
      </c>
      <c r="D297" s="350" t="s">
        <v>503</v>
      </c>
      <c r="E297" s="351">
        <v>6</v>
      </c>
      <c r="F297" s="448" t="b">
        <f t="shared" si="32"/>
        <v>0</v>
      </c>
      <c r="G297" s="6">
        <f ca="1">IF(AND(E297&gt;Control_Torque_requirement,I297=1,A297=1),COUNTIF($G$269:G296,"&lt;"&amp;$G$302)+1,$G$302)</f>
        <v>100</v>
      </c>
      <c r="I297" s="462" t="str">
        <f t="shared" ca="1" si="31"/>
        <v>NOT ON LIST</v>
      </c>
      <c r="J297" s="6" t="str">
        <f ca="1">IFERROR(INDEX($C$270:OFFSET($C$270,$H$270-1,0),MATCH(ROW()-ROW($G$269),$G$270:OFFSET($G$270,$H$270-1,0),0)),"")</f>
        <v/>
      </c>
    </row>
    <row r="298" spans="1:11" x14ac:dyDescent="0.25">
      <c r="A298" s="453">
        <v>0</v>
      </c>
      <c r="C298" s="347" t="s">
        <v>505</v>
      </c>
      <c r="D298" s="350" t="s">
        <v>507</v>
      </c>
      <c r="E298" s="351">
        <v>6</v>
      </c>
      <c r="F298" s="448" t="b">
        <f t="shared" si="32"/>
        <v>0</v>
      </c>
      <c r="G298" s="6">
        <f ca="1">IF(AND(E298&gt;Control_Torque_requirement,I298=1,A298=1),COUNTIF($G$269:G297,"&lt;"&amp;$G$302)+1,$G$302)</f>
        <v>100</v>
      </c>
      <c r="I298" s="462" t="str">
        <f t="shared" ca="1" si="31"/>
        <v>NOT ON LIST</v>
      </c>
      <c r="J298" s="6" t="str">
        <f ca="1">IFERROR(INDEX($C$270:OFFSET($C$270,$H$270-1,0),MATCH(ROW()-ROW($G$269),$G$270:OFFSET($G$270,$H$270-1,0),0)),"")</f>
        <v/>
      </c>
    </row>
    <row r="299" spans="1:11" x14ac:dyDescent="0.25">
      <c r="A299" s="453">
        <v>0</v>
      </c>
      <c r="C299" s="362" t="s">
        <v>524</v>
      </c>
      <c r="D299" s="367" t="s">
        <v>526</v>
      </c>
      <c r="E299" s="351">
        <v>15</v>
      </c>
      <c r="F299" s="448" t="b">
        <f t="shared" si="32"/>
        <v>0</v>
      </c>
      <c r="G299" s="6">
        <f ca="1">IF(AND(E299&gt;Control_Torque_requirement,I299=1,A299=1),COUNTIF($G$269:G298,"&lt;"&amp;$G$302)+1,$G$302)</f>
        <v>100</v>
      </c>
      <c r="I299" s="462" t="str">
        <f t="shared" ca="1" si="31"/>
        <v>NOT ON LIST</v>
      </c>
      <c r="J299" s="6" t="str">
        <f ca="1">IFERROR(INDEX($C$270:OFFSET($C$270,$H$270-1,0),MATCH(ROW()-ROW($G$269),$G$270:OFFSET($G$270,$H$270-1,0),0)),"")</f>
        <v/>
      </c>
    </row>
    <row r="300" spans="1:11" x14ac:dyDescent="0.25">
      <c r="A300" s="453">
        <v>1</v>
      </c>
      <c r="C300" s="224" t="s">
        <v>527</v>
      </c>
      <c r="D300" s="371" t="s">
        <v>529</v>
      </c>
      <c r="E300" s="342">
        <v>6</v>
      </c>
      <c r="F300" s="448" t="str">
        <f t="shared" si="32"/>
        <v>DM35</v>
      </c>
      <c r="G300" s="6">
        <f ca="1">IF(AND(E300&gt;Control_Torque_requirement,I300=1,A300=1),COUNTIF($G$269:G299,"&lt;"&amp;$G$302)+1,$G$302)</f>
        <v>100</v>
      </c>
      <c r="I300" s="462">
        <f t="shared" ca="1" si="31"/>
        <v>0</v>
      </c>
      <c r="J300" s="6" t="str">
        <f ca="1">IFERROR(INDEX($C$270:OFFSET($C$270,$H$270-1,0),MATCH(ROW()-ROW($G$269),$G$270:OFFSET($G$270,$H$270-1,0),0)),"")</f>
        <v/>
      </c>
    </row>
    <row r="301" spans="1:11" x14ac:dyDescent="0.25">
      <c r="A301" s="453">
        <v>0</v>
      </c>
      <c r="C301" s="362" t="s">
        <v>530</v>
      </c>
      <c r="D301" s="367" t="s">
        <v>531</v>
      </c>
      <c r="E301" s="351">
        <v>15</v>
      </c>
      <c r="F301" s="448" t="b">
        <f t="shared" si="32"/>
        <v>0</v>
      </c>
      <c r="G301" s="6">
        <f ca="1">IF(AND(E301&gt;Control_Torque_requirement,I301=1,A301=1),COUNTIF($G$269:G300,"&lt;"&amp;$G$302)+1,$G$302)</f>
        <v>100</v>
      </c>
      <c r="I301" s="462" t="str">
        <f t="shared" ca="1" si="31"/>
        <v>NOT ON LIST</v>
      </c>
      <c r="J301" s="6" t="str">
        <f ca="1">IFERROR(INDEX($C$270:OFFSET($C$270,$H$270-1,0),MATCH(ROW()-ROW($G$269),$G$270:OFFSET($G$270,$H$270-1,0),0)),"")</f>
        <v/>
      </c>
    </row>
    <row r="302" spans="1:11" x14ac:dyDescent="0.25">
      <c r="G302" s="425">
        <v>100</v>
      </c>
      <c r="H302" s="425" t="s">
        <v>744</v>
      </c>
      <c r="I302" s="425"/>
    </row>
    <row r="303" spans="1:11" x14ac:dyDescent="0.25">
      <c r="I303" t="str">
        <f ca="1">IFERROR(INDEX(#REF!:OFFSET(#REF!,$H$270-1,0),MATCH(ROW()-ROW($P$70),$J$270:OFFSET($J$270,$H$270-1,0),0)),"")</f>
        <v/>
      </c>
    </row>
    <row r="304" spans="1:11" x14ac:dyDescent="0.25">
      <c r="C304" s="797" t="s">
        <v>800</v>
      </c>
      <c r="D304" s="798"/>
      <c r="E304" s="798"/>
      <c r="F304" s="798"/>
      <c r="G304" s="798"/>
      <c r="H304" s="798"/>
      <c r="I304" s="798"/>
      <c r="J304" s="798"/>
      <c r="K304" s="798"/>
    </row>
    <row r="305" spans="1:12" x14ac:dyDescent="0.25">
      <c r="A305" s="468" t="s">
        <v>778</v>
      </c>
      <c r="C305" s="156" t="s">
        <v>801</v>
      </c>
      <c r="D305" s="157"/>
      <c r="E305" s="157" t="s">
        <v>208</v>
      </c>
      <c r="F305" s="157"/>
      <c r="G305" s="6" t="s">
        <v>622</v>
      </c>
      <c r="H305" s="469" t="s">
        <v>796</v>
      </c>
      <c r="I305" s="6" t="s">
        <v>797</v>
      </c>
      <c r="J305" s="6" t="s">
        <v>798</v>
      </c>
      <c r="K305" s="462" t="s">
        <v>746</v>
      </c>
    </row>
    <row r="306" spans="1:12" x14ac:dyDescent="0.25">
      <c r="A306" s="453">
        <v>0</v>
      </c>
      <c r="C306" s="9" t="s">
        <v>139</v>
      </c>
      <c r="D306" s="6"/>
      <c r="E306" s="462">
        <v>0</v>
      </c>
      <c r="F306" s="462"/>
      <c r="G306" s="6">
        <f ca="1">IF(AND(E306&gt;Link_Torque_Requirement,I306=1,A306=1),COUNTIF($G$305:G305,"&lt;"&amp;$G$302)+1,$G$302)</f>
        <v>100</v>
      </c>
      <c r="H306" s="469">
        <f>COUNTA(C305:C312)</f>
        <v>8</v>
      </c>
      <c r="I306" s="462">
        <f t="shared" ref="I306:I312" ca="1" si="33">IFERROR(INDEX(Link_Compatibility_Matrix,MATCH(C306,Link_Compatibility_System,0),MATCH(system_selected,Link_Compatibility_Tube,0)), "NOT ON LIST")</f>
        <v>0</v>
      </c>
      <c r="J306" s="6" t="str">
        <f ca="1">IFERROR(INDEX($C$306:OFFSET($C$306,$H$306-1,0),MATCH(ROW()-ROW($G$305),$G$306:OFFSET($G$306,$H$306-1,0),0)),"")</f>
        <v>EASY-LINK SKYLINE</v>
      </c>
      <c r="K306" s="462">
        <f ca="1">IFERROR(MATCH("",J306:J313,0)-1,"")</f>
        <v>4</v>
      </c>
    </row>
    <row r="307" spans="1:12" x14ac:dyDescent="0.25">
      <c r="A307" s="453">
        <v>1</v>
      </c>
      <c r="C307" s="138" t="s">
        <v>804</v>
      </c>
      <c r="D307" s="138"/>
      <c r="E307" s="158">
        <v>14</v>
      </c>
      <c r="F307" s="158"/>
      <c r="G307" s="6">
        <f ca="1">IF(AND(E307&gt;Link_Torque_Requirement,I307=1,A307=1),COUNTIF($G$305:G306,"&lt;"&amp;$G$302)+1,$G$302)</f>
        <v>100</v>
      </c>
      <c r="H307" s="158"/>
      <c r="I307" s="462">
        <f t="shared" ca="1" si="33"/>
        <v>0</v>
      </c>
      <c r="J307" s="6" t="str">
        <f ca="1">IFERROR(INDEX($C$306:OFFSET($C$306,$H$306-1,0),MATCH(ROW()-ROW($G$305),$G$306:OFFSET($G$306,$H$306-1,0),0)),"")</f>
        <v>EASY-LINK</v>
      </c>
    </row>
    <row r="308" spans="1:12" x14ac:dyDescent="0.25">
      <c r="A308" s="453">
        <v>1</v>
      </c>
      <c r="C308" s="6" t="s">
        <v>812</v>
      </c>
      <c r="D308" s="138"/>
      <c r="E308" s="640">
        <v>3</v>
      </c>
      <c r="F308" s="640"/>
      <c r="G308" s="6">
        <f ca="1">IF(AND(E308&gt;Link_Torque_Requirement,I308=1,A308=1),COUNTIF($G$305:G307,"&lt;"&amp;$G$302)+1,$G$302)</f>
        <v>100</v>
      </c>
      <c r="H308" s="640"/>
      <c r="I308" s="640">
        <f t="shared" ca="1" si="33"/>
        <v>0</v>
      </c>
      <c r="J308" s="6" t="str">
        <f ca="1">IFERROR(INDEX($C$306:OFFSET($C$306,$H$306-1,0),MATCH(ROW()-ROW($G$305),$G$306:OFFSET($G$306,$H$306-1,0),0)),"")</f>
        <v>EASY-LINK UNI-JOINT</v>
      </c>
    </row>
    <row r="309" spans="1:12" x14ac:dyDescent="0.25">
      <c r="A309" s="453">
        <v>1</v>
      </c>
      <c r="C309" s="6" t="s">
        <v>813</v>
      </c>
      <c r="D309" s="138"/>
      <c r="E309" s="640">
        <v>2</v>
      </c>
      <c r="F309" s="640"/>
      <c r="G309" s="6">
        <f ca="1">IF(AND(E309&gt;Link_Torque_Requirement,I309=1,A309=1),COUNTIF($G$305:G308,"&lt;"&amp;$G$302)+1,$G$302)</f>
        <v>1</v>
      </c>
      <c r="H309" s="640"/>
      <c r="I309" s="640">
        <f t="shared" ca="1" si="33"/>
        <v>1</v>
      </c>
      <c r="J309" s="6" t="str">
        <f ca="1">IFERROR(INDEX($C$306:OFFSET($C$306,$H$306-1,0),MATCH(ROW()-ROW($G$305),$G$306:OFFSET($G$306,$H$306-1,0),0)),"")</f>
        <v>INFINITE LINK SYSTEM</v>
      </c>
      <c r="L309" s="688" t="s">
        <v>874</v>
      </c>
    </row>
    <row r="310" spans="1:12" x14ac:dyDescent="0.25">
      <c r="A310" s="453">
        <v>1</v>
      </c>
      <c r="C310" s="6" t="s">
        <v>814</v>
      </c>
      <c r="D310" s="138"/>
      <c r="E310" s="640">
        <v>3</v>
      </c>
      <c r="F310" s="640"/>
      <c r="G310" s="6">
        <f ca="1">IF(AND(E310&gt;Link_Torque_Requirement,I310=1,A310=1),COUNTIF($G$305:G309,"&lt;"&amp;$G$302)+1,$G$302)</f>
        <v>2</v>
      </c>
      <c r="H310" s="640"/>
      <c r="I310" s="640">
        <f t="shared" ca="1" si="33"/>
        <v>1</v>
      </c>
      <c r="J310" s="6" t="str">
        <f ca="1">IFERROR(INDEX($C$306:OFFSET($C$306,$H$306-1,0),MATCH(ROW()-ROW($G$305),$G$306:OFFSET($G$306,$H$306-1,0),0)),"")</f>
        <v/>
      </c>
      <c r="L310" s="688" t="s">
        <v>875</v>
      </c>
    </row>
    <row r="311" spans="1:12" x14ac:dyDescent="0.25">
      <c r="A311" s="453">
        <v>1</v>
      </c>
      <c r="C311" s="6" t="s">
        <v>815</v>
      </c>
      <c r="D311" s="138"/>
      <c r="E311" s="5">
        <v>2.5</v>
      </c>
      <c r="F311" s="640"/>
      <c r="G311" s="6">
        <f ca="1">IF(AND(E311&gt;Link_Torque_Requirement,I311=1,A311=1),COUNTIF($G$305:G310,"&lt;"&amp;$G$302)+1,$G$302)</f>
        <v>3</v>
      </c>
      <c r="H311" s="640"/>
      <c r="I311" s="640">
        <f t="shared" ca="1" si="33"/>
        <v>1</v>
      </c>
      <c r="J311" s="6" t="str">
        <f ca="1">IFERROR(INDEX($C$306:OFFSET($C$306,$H$306-1,0),MATCH(ROW()-ROW($G$305),$G$306:OFFSET($G$306,$H$306-1,0),0)),"")</f>
        <v/>
      </c>
      <c r="L311" s="688" t="s">
        <v>876</v>
      </c>
    </row>
    <row r="312" spans="1:12" x14ac:dyDescent="0.25">
      <c r="A312" s="453">
        <v>1</v>
      </c>
      <c r="C312" s="9" t="s">
        <v>805</v>
      </c>
      <c r="D312" s="6"/>
      <c r="E312" s="462">
        <v>2</v>
      </c>
      <c r="F312" s="462"/>
      <c r="G312" s="6">
        <f ca="1">IF(AND(E312&gt;Link_Torque_Requirement,I312=1,A312=1),COUNTIF($G$305:G311,"&lt;"&amp;$G$302)+1,$G$302)</f>
        <v>4</v>
      </c>
      <c r="H312" s="462"/>
      <c r="I312" s="462">
        <f t="shared" ca="1" si="33"/>
        <v>1</v>
      </c>
      <c r="J312" s="6" t="str">
        <f ca="1">IFERROR(INDEX($C$306:OFFSET($C$306,$H$306-1,0),MATCH(ROW()-ROW($G$305),$G$306:OFFSET($G$306,$H$306-1,0),0)),"")</f>
        <v/>
      </c>
      <c r="L312" s="688" t="s">
        <v>879</v>
      </c>
    </row>
    <row r="313" spans="1:12" x14ac:dyDescent="0.25">
      <c r="C313" s="425"/>
      <c r="D313" s="425"/>
      <c r="E313" s="425"/>
      <c r="F313" s="425"/>
      <c r="G313" s="425"/>
      <c r="H313" s="425"/>
      <c r="I313" s="425"/>
      <c r="J313" s="425"/>
    </row>
    <row r="319" spans="1:12" x14ac:dyDescent="0.25">
      <c r="C319" s="414"/>
      <c r="D319" s="414"/>
      <c r="E319" s="414"/>
      <c r="F319" s="446"/>
    </row>
    <row r="320" spans="1:12" x14ac:dyDescent="0.25">
      <c r="C320" s="424" t="s">
        <v>269</v>
      </c>
      <c r="D320" s="171"/>
      <c r="E320" s="171"/>
      <c r="F320" s="446"/>
    </row>
    <row r="321" spans="3:6" x14ac:dyDescent="0.25">
      <c r="C321" s="424" t="s">
        <v>272</v>
      </c>
      <c r="D321" s="175"/>
      <c r="E321" s="175"/>
      <c r="F321" s="446"/>
    </row>
    <row r="322" spans="3:6" x14ac:dyDescent="0.25">
      <c r="C322" s="174"/>
      <c r="D322" s="175"/>
      <c r="E322" s="175"/>
      <c r="F322" s="446"/>
    </row>
    <row r="323" spans="3:6" x14ac:dyDescent="0.25">
      <c r="C323" s="424" t="s">
        <v>279</v>
      </c>
      <c r="D323" s="171"/>
      <c r="E323" s="171"/>
      <c r="F323" s="446"/>
    </row>
    <row r="324" spans="3:6" x14ac:dyDescent="0.25">
      <c r="C324" s="446"/>
      <c r="D324" s="446"/>
      <c r="E324" s="446"/>
      <c r="F324" s="446"/>
    </row>
  </sheetData>
  <mergeCells count="57">
    <mergeCell ref="B73:B74"/>
    <mergeCell ref="C11:D11"/>
    <mergeCell ref="G11:K13"/>
    <mergeCell ref="D26:D28"/>
    <mergeCell ref="D29:D32"/>
    <mergeCell ref="B47:B53"/>
    <mergeCell ref="D47:D53"/>
    <mergeCell ref="B26:B46"/>
    <mergeCell ref="B61:B72"/>
    <mergeCell ref="D33:D35"/>
    <mergeCell ref="D36:D43"/>
    <mergeCell ref="D44:D46"/>
    <mergeCell ref="K3:L3"/>
    <mergeCell ref="N3:S3"/>
    <mergeCell ref="K4:L4"/>
    <mergeCell ref="C10:D10"/>
    <mergeCell ref="G10:K10"/>
    <mergeCell ref="F3:I3"/>
    <mergeCell ref="B234:B244"/>
    <mergeCell ref="B114:B228"/>
    <mergeCell ref="G244:I244"/>
    <mergeCell ref="G243:I243"/>
    <mergeCell ref="G238:I238"/>
    <mergeCell ref="G241:I241"/>
    <mergeCell ref="G242:I242"/>
    <mergeCell ref="G233:I233"/>
    <mergeCell ref="G234:I234"/>
    <mergeCell ref="G235:I235"/>
    <mergeCell ref="G236:I236"/>
    <mergeCell ref="G237:I237"/>
    <mergeCell ref="G239:I239"/>
    <mergeCell ref="G240:I240"/>
    <mergeCell ref="B245:B257"/>
    <mergeCell ref="G245:I245"/>
    <mergeCell ref="G246:I246"/>
    <mergeCell ref="G247:I247"/>
    <mergeCell ref="G248:I248"/>
    <mergeCell ref="G249:I249"/>
    <mergeCell ref="G250:I250"/>
    <mergeCell ref="G251:I251"/>
    <mergeCell ref="G252:I252"/>
    <mergeCell ref="G253:I253"/>
    <mergeCell ref="G254:I254"/>
    <mergeCell ref="G255:I255"/>
    <mergeCell ref="G256:I256"/>
    <mergeCell ref="G257:I257"/>
    <mergeCell ref="AA24:AN24"/>
    <mergeCell ref="C304:K304"/>
    <mergeCell ref="AB25:AN25"/>
    <mergeCell ref="AA26:AA54"/>
    <mergeCell ref="C232:O232"/>
    <mergeCell ref="C268:K268"/>
    <mergeCell ref="AF60:AR60"/>
    <mergeCell ref="AE59:AR59"/>
    <mergeCell ref="C260:E260"/>
    <mergeCell ref="O82:R82"/>
    <mergeCell ref="N59:S59"/>
  </mergeCells>
  <conditionalFormatting sqref="A26:A53 A312">
    <cfRule type="cellIs" dxfId="13" priority="15" operator="equal">
      <formula>0</formula>
    </cfRule>
  </conditionalFormatting>
  <conditionalFormatting sqref="A234:A257">
    <cfRule type="cellIs" dxfId="12" priority="14" operator="equal">
      <formula>0</formula>
    </cfRule>
  </conditionalFormatting>
  <conditionalFormatting sqref="A270:A301">
    <cfRule type="cellIs" dxfId="11" priority="13" operator="equal">
      <formula>0</formula>
    </cfRule>
  </conditionalFormatting>
  <conditionalFormatting sqref="A306:A307">
    <cfRule type="cellIs" dxfId="10" priority="11" operator="equal">
      <formula>0</formula>
    </cfRule>
  </conditionalFormatting>
  <conditionalFormatting sqref="A61:A74 A76">
    <cfRule type="cellIs" dxfId="9" priority="10" operator="equal">
      <formula>0</formula>
    </cfRule>
  </conditionalFormatting>
  <conditionalFormatting sqref="A308:A309">
    <cfRule type="cellIs" dxfId="8" priority="9" operator="equal">
      <formula>0</formula>
    </cfRule>
  </conditionalFormatting>
  <conditionalFormatting sqref="A310:A311">
    <cfRule type="cellIs" dxfId="7" priority="8" operator="equal">
      <formula>0</formula>
    </cfRule>
  </conditionalFormatting>
  <conditionalFormatting sqref="AG60:AR68 AC27:AN55">
    <cfRule type="colorScale" priority="147">
      <colorScale>
        <cfvo type="min"/>
        <cfvo type="max"/>
        <color rgb="FFFF0000"/>
        <color theme="9"/>
      </colorScale>
    </cfRule>
  </conditionalFormatting>
  <conditionalFormatting sqref="A110:A228">
    <cfRule type="cellIs" dxfId="6" priority="7" operator="equal">
      <formula>0</formula>
    </cfRule>
  </conditionalFormatting>
  <conditionalFormatting sqref="A84:A86">
    <cfRule type="cellIs" dxfId="5" priority="6" operator="equal">
      <formula>0</formula>
    </cfRule>
  </conditionalFormatting>
  <conditionalFormatting sqref="A87:A89">
    <cfRule type="cellIs" dxfId="4" priority="5" operator="equal">
      <formula>0</formula>
    </cfRule>
  </conditionalFormatting>
  <conditionalFormatting sqref="A83">
    <cfRule type="cellIs" dxfId="3" priority="4" operator="equal">
      <formula>0</formula>
    </cfRule>
  </conditionalFormatting>
  <conditionalFormatting sqref="A229">
    <cfRule type="cellIs" dxfId="2" priority="3" operator="equal">
      <formula>0</formula>
    </cfRule>
  </conditionalFormatting>
  <conditionalFormatting sqref="A75">
    <cfRule type="cellIs" dxfId="1" priority="2" operator="equal">
      <formula>0</formula>
    </cfRule>
  </conditionalFormatting>
  <conditionalFormatting sqref="F270:F301">
    <cfRule type="expression" dxfId="0" priority="1">
      <formula>F270=FALSE</formula>
    </cfRule>
  </conditionalFormatting>
  <dataValidations disablePrompts="1" count="1">
    <dataValidation type="list" allowBlank="1" showInputMessage="1" showErrorMessage="1" sqref="AF63:AF68" xr:uid="{90DDAD00-449B-46F5-848F-D38B6BB2DD03}">
      <formula1>LINK_List</formula1>
    </dataValidation>
  </dataValidation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14556-87AC-4BDE-BAB0-4CDD9E9F2FE3}">
  <sheetPr codeName="Sheet6" filterMode="1"/>
  <dimension ref="A1:CB90"/>
  <sheetViews>
    <sheetView zoomScale="85" zoomScaleNormal="85" zoomScaleSheetLayoutView="110" workbookViewId="0">
      <pane ySplit="1" topLeftCell="A2" activePane="bottomLeft" state="frozen"/>
      <selection pane="bottomLeft" activeCell="F85" sqref="F85"/>
    </sheetView>
  </sheetViews>
  <sheetFormatPr defaultColWidth="8.7109375" defaultRowHeight="15" x14ac:dyDescent="0.25"/>
  <cols>
    <col min="1" max="1" width="12.42578125" style="374" bestFit="1" customWidth="1"/>
    <col min="2" max="2" width="20.42578125" style="375" bestFit="1" customWidth="1"/>
    <col min="3" max="3" width="25.42578125" style="376" bestFit="1" customWidth="1"/>
    <col min="4" max="5" width="11.7109375" style="376" bestFit="1" customWidth="1"/>
    <col min="6" max="6" width="16" style="376" bestFit="1" customWidth="1"/>
    <col min="7" max="7" width="13.42578125" style="376" bestFit="1" customWidth="1"/>
    <col min="8" max="8" width="13.28515625" style="376" bestFit="1" customWidth="1"/>
    <col min="9" max="9" width="29.42578125" style="377" bestFit="1" customWidth="1"/>
    <col min="10" max="10" width="25.42578125" style="377" bestFit="1" customWidth="1"/>
    <col min="11" max="11" width="27" style="377" bestFit="1" customWidth="1"/>
    <col min="12" max="12" width="15.42578125" style="377" customWidth="1"/>
    <col min="13" max="13" width="50" style="374" bestFit="1" customWidth="1"/>
    <col min="14" max="14" width="15.28515625" style="375" bestFit="1" customWidth="1"/>
    <col min="15" max="15" width="14.7109375" style="376" bestFit="1" customWidth="1"/>
    <col min="16" max="16" width="12.85546875" style="376" bestFit="1" customWidth="1"/>
    <col min="17" max="17" width="12.28515625" style="376" bestFit="1" customWidth="1"/>
    <col min="18" max="18" width="13.42578125" style="376" bestFit="1" customWidth="1"/>
    <col min="19" max="19" width="13.5703125" style="376" bestFit="1" customWidth="1"/>
    <col min="20" max="20" width="17.140625" style="404" bestFit="1" customWidth="1"/>
    <col min="21" max="21" width="15.85546875" style="376" bestFit="1" customWidth="1"/>
    <col min="22" max="22" width="20.28515625" style="376" bestFit="1" customWidth="1"/>
    <col min="23" max="23" width="12.85546875" style="376" bestFit="1" customWidth="1"/>
    <col min="24" max="24" width="12.85546875" style="376" customWidth="1"/>
    <col min="25" max="25" width="11.7109375" style="376" bestFit="1" customWidth="1"/>
    <col min="26" max="26" width="12.7109375" style="376" bestFit="1" customWidth="1"/>
    <col min="27" max="27" width="27.7109375" style="376" bestFit="1" customWidth="1"/>
    <col min="28" max="28" width="26.7109375" style="376" bestFit="1" customWidth="1"/>
    <col min="29" max="29" width="12.42578125" style="378" bestFit="1" customWidth="1"/>
    <col min="30" max="30" width="12.42578125" style="379" bestFit="1" customWidth="1"/>
    <col min="31" max="31" width="15.140625" style="378" bestFit="1" customWidth="1"/>
    <col min="32" max="32" width="13.42578125" style="378" bestFit="1" customWidth="1"/>
    <col min="33" max="33" width="16.28515625" style="378" bestFit="1" customWidth="1"/>
    <col min="34" max="34" width="15.85546875" style="378" bestFit="1" customWidth="1"/>
    <col min="35" max="35" width="19.28515625" style="379" bestFit="1" customWidth="1"/>
    <col min="36" max="36" width="13.85546875" style="379" bestFit="1" customWidth="1"/>
    <col min="37" max="37" width="16.42578125" style="379" bestFit="1" customWidth="1"/>
    <col min="38" max="38" width="16.28515625" style="379" bestFit="1" customWidth="1"/>
    <col min="39" max="39" width="14.7109375" style="379" bestFit="1" customWidth="1"/>
    <col min="40" max="40" width="20.140625" style="299" bestFit="1" customWidth="1"/>
    <col min="41" max="41" width="20.85546875" style="299" bestFit="1" customWidth="1"/>
    <col min="42" max="42" width="21.28515625" style="299" bestFit="1" customWidth="1"/>
    <col min="43" max="43" width="26.28515625" style="299" bestFit="1" customWidth="1"/>
    <col min="44" max="44" width="32.42578125" style="299" bestFit="1" customWidth="1"/>
    <col min="45" max="47" width="12.85546875" style="299" bestFit="1" customWidth="1"/>
    <col min="48" max="49" width="24.42578125" style="299" bestFit="1" customWidth="1"/>
    <col min="50" max="51" width="21.140625" style="299" bestFit="1" customWidth="1"/>
    <col min="52" max="52" width="20.42578125" style="299" bestFit="1" customWidth="1"/>
    <col min="53" max="53" width="20.85546875" style="299" bestFit="1" customWidth="1"/>
    <col min="54" max="55" width="22.42578125" style="299" bestFit="1" customWidth="1"/>
    <col min="56" max="56" width="23.140625" style="299" bestFit="1" customWidth="1"/>
    <col min="57" max="57" width="21.140625" style="299" bestFit="1" customWidth="1"/>
    <col min="58" max="59" width="23.140625" style="299" bestFit="1" customWidth="1"/>
    <col min="60" max="60" width="23.7109375" style="299" bestFit="1" customWidth="1"/>
    <col min="61" max="61" width="7.28515625" style="380" bestFit="1" customWidth="1"/>
    <col min="62" max="62" width="15" style="374" bestFit="1" customWidth="1"/>
    <col min="63" max="63" width="19.42578125" style="374" bestFit="1" customWidth="1"/>
    <col min="64" max="64" width="25.42578125" style="374" bestFit="1" customWidth="1"/>
    <col min="65" max="65" width="19.42578125" style="374" bestFit="1" customWidth="1"/>
    <col min="66" max="66" width="37.7109375" style="374" bestFit="1" customWidth="1"/>
    <col min="67" max="67" width="84.42578125" style="374" bestFit="1" customWidth="1"/>
    <col min="68" max="68" width="17.42578125" style="374" bestFit="1" customWidth="1"/>
    <col min="69" max="69" width="17.42578125" style="378" bestFit="1" customWidth="1"/>
    <col min="70" max="70" width="31.42578125" style="374" bestFit="1" customWidth="1"/>
    <col min="71" max="71" width="25.140625" style="374" bestFit="1" customWidth="1"/>
    <col min="72" max="72" width="26.7109375" style="374" bestFit="1" customWidth="1"/>
    <col min="73" max="73" width="20.85546875" style="374" bestFit="1" customWidth="1"/>
    <col min="74" max="74" width="25.42578125" style="374" bestFit="1" customWidth="1"/>
    <col min="75" max="75" width="17.140625" style="374" bestFit="1" customWidth="1"/>
    <col min="76" max="77" width="13.42578125" style="374" bestFit="1" customWidth="1"/>
    <col min="78" max="78" width="19.85546875" style="374" bestFit="1" customWidth="1"/>
    <col min="79" max="79" width="19.28515625" style="374" bestFit="1" customWidth="1"/>
    <col min="80" max="80" width="16.42578125" style="374" bestFit="1" customWidth="1"/>
    <col min="81" max="16384" width="8.7109375" style="299"/>
  </cols>
  <sheetData>
    <row r="1" spans="1:80" s="163" customFormat="1" ht="30.75" thickBot="1" x14ac:dyDescent="0.3">
      <c r="A1" s="180" t="s">
        <v>372</v>
      </c>
      <c r="B1" s="407" t="s">
        <v>373</v>
      </c>
      <c r="C1" s="182" t="s">
        <v>374</v>
      </c>
      <c r="D1" s="182" t="s">
        <v>375</v>
      </c>
      <c r="E1" s="182"/>
      <c r="F1" s="182"/>
      <c r="G1" s="182"/>
      <c r="H1" s="182"/>
      <c r="I1" s="183"/>
      <c r="J1" s="183"/>
      <c r="K1" s="183"/>
      <c r="L1" s="184"/>
      <c r="M1" s="408"/>
      <c r="N1" s="181"/>
      <c r="O1" s="186"/>
      <c r="P1" s="186"/>
      <c r="Q1" s="406"/>
      <c r="R1" s="186"/>
      <c r="S1" s="186"/>
      <c r="T1" s="187"/>
      <c r="U1" s="186"/>
      <c r="V1" s="186"/>
      <c r="W1" s="186"/>
      <c r="X1" s="186"/>
      <c r="Y1" s="186"/>
      <c r="Z1" s="186"/>
      <c r="AA1" s="188"/>
      <c r="AB1" s="188"/>
      <c r="AC1" s="189"/>
      <c r="AD1" s="190"/>
      <c r="AE1" s="189"/>
      <c r="AF1" s="189"/>
      <c r="AG1" s="189"/>
      <c r="AH1" s="189"/>
      <c r="AI1" s="190"/>
      <c r="AJ1" s="190"/>
      <c r="AK1" s="190"/>
      <c r="AL1" s="190"/>
      <c r="AM1" s="190"/>
      <c r="AN1" s="190"/>
      <c r="AO1" s="191"/>
      <c r="AP1" s="190"/>
      <c r="AQ1" s="190"/>
      <c r="AR1" s="191"/>
      <c r="AS1" s="190"/>
      <c r="AT1" s="190"/>
      <c r="AU1" s="190"/>
      <c r="AV1" s="190"/>
      <c r="AW1" s="191"/>
      <c r="AX1" s="190"/>
      <c r="AY1" s="191"/>
      <c r="AZ1" s="191"/>
      <c r="BA1" s="191"/>
      <c r="BB1" s="190"/>
      <c r="BC1" s="190"/>
      <c r="BD1" s="190"/>
      <c r="BE1" s="190"/>
      <c r="BF1" s="190"/>
      <c r="BG1" s="190"/>
      <c r="BH1" s="190"/>
      <c r="BI1" s="192"/>
      <c r="BJ1" s="185"/>
      <c r="BK1" s="185"/>
      <c r="BL1" s="185"/>
      <c r="BM1" s="185"/>
      <c r="BN1" s="185"/>
      <c r="BO1" s="185"/>
      <c r="BP1" s="185"/>
      <c r="BQ1" s="189"/>
      <c r="BR1" s="185"/>
      <c r="BS1" s="185"/>
      <c r="BT1" s="183"/>
      <c r="BU1" s="183"/>
      <c r="BV1" s="183"/>
      <c r="BW1" s="183"/>
      <c r="BX1" s="185"/>
      <c r="BY1" s="185"/>
      <c r="BZ1" s="193"/>
      <c r="CA1" s="193"/>
      <c r="CB1" s="194"/>
    </row>
    <row r="2" spans="1:80" s="218" customFormat="1" ht="15.75" thickBot="1" x14ac:dyDescent="0.25">
      <c r="A2" s="195">
        <v>1</v>
      </c>
      <c r="B2" s="196" t="s">
        <v>376</v>
      </c>
      <c r="C2" s="196" t="s">
        <v>377</v>
      </c>
      <c r="D2" s="196">
        <v>18</v>
      </c>
      <c r="E2" s="196"/>
      <c r="F2" s="196"/>
      <c r="G2" s="196"/>
      <c r="H2" s="196"/>
      <c r="I2" s="197"/>
      <c r="J2" s="197"/>
      <c r="K2" s="198"/>
      <c r="L2" s="199"/>
      <c r="M2" s="200"/>
      <c r="N2" s="201"/>
      <c r="O2" s="202"/>
      <c r="P2" s="202"/>
      <c r="Q2" s="202"/>
      <c r="R2" s="202"/>
      <c r="S2" s="202"/>
      <c r="T2" s="203"/>
      <c r="U2" s="204"/>
      <c r="V2" s="202"/>
      <c r="W2" s="204"/>
      <c r="X2" s="204"/>
      <c r="Y2" s="204"/>
      <c r="Z2" s="204"/>
      <c r="AA2" s="204"/>
      <c r="AB2" s="204"/>
      <c r="AC2" s="205"/>
      <c r="AD2" s="206"/>
      <c r="AE2" s="205"/>
      <c r="AF2" s="205"/>
      <c r="AG2" s="205"/>
      <c r="AH2" s="207"/>
      <c r="AI2" s="208"/>
      <c r="AJ2" s="208"/>
      <c r="AK2" s="208"/>
      <c r="AL2" s="206"/>
      <c r="AM2" s="208"/>
      <c r="AN2" s="206"/>
      <c r="AO2" s="209"/>
      <c r="AP2" s="208"/>
      <c r="AQ2" s="206"/>
      <c r="AR2" s="209"/>
      <c r="AS2" s="208"/>
      <c r="AT2" s="208"/>
      <c r="AU2" s="208"/>
      <c r="AV2" s="206"/>
      <c r="AW2" s="209"/>
      <c r="AX2" s="206"/>
      <c r="AY2" s="209"/>
      <c r="AZ2" s="209"/>
      <c r="BA2" s="209"/>
      <c r="BB2" s="210"/>
      <c r="BC2" s="210"/>
      <c r="BD2" s="210"/>
      <c r="BE2" s="211"/>
      <c r="BF2" s="210"/>
      <c r="BG2" s="210"/>
      <c r="BH2" s="210"/>
      <c r="BI2" s="212"/>
      <c r="BJ2" s="213"/>
      <c r="BK2" s="213"/>
      <c r="BL2" s="213"/>
      <c r="BM2" s="213"/>
      <c r="BN2" s="213"/>
      <c r="BO2" s="213"/>
      <c r="BP2" s="213"/>
      <c r="BQ2" s="205"/>
      <c r="BR2" s="213"/>
      <c r="BS2" s="213"/>
      <c r="BT2" s="214"/>
      <c r="BU2" s="214"/>
      <c r="BV2" s="214"/>
      <c r="BW2" s="215"/>
      <c r="BX2" s="215"/>
      <c r="BY2" s="215"/>
      <c r="BZ2" s="215"/>
      <c r="CA2" s="216"/>
      <c r="CB2" s="217"/>
    </row>
    <row r="3" spans="1:80" s="236" customFormat="1" ht="15.75" thickBot="1" x14ac:dyDescent="0.25">
      <c r="A3" s="219">
        <v>2</v>
      </c>
      <c r="B3" s="220" t="s">
        <v>389</v>
      </c>
      <c r="C3" s="220" t="s">
        <v>390</v>
      </c>
      <c r="D3" s="220">
        <v>18</v>
      </c>
      <c r="E3" s="220"/>
      <c r="F3" s="220"/>
      <c r="G3" s="220"/>
      <c r="H3" s="220"/>
      <c r="I3" s="221"/>
      <c r="J3" s="221"/>
      <c r="K3" s="222"/>
      <c r="L3" s="199"/>
      <c r="M3" s="223"/>
      <c r="N3" s="224"/>
      <c r="O3" s="225"/>
      <c r="P3" s="225"/>
      <c r="Q3" s="225"/>
      <c r="R3" s="225"/>
      <c r="S3" s="202"/>
      <c r="T3" s="203"/>
      <c r="U3" s="207"/>
      <c r="V3" s="225"/>
      <c r="W3" s="207"/>
      <c r="X3" s="207"/>
      <c r="Y3" s="207"/>
      <c r="Z3" s="207"/>
      <c r="AA3" s="207"/>
      <c r="AB3" s="207"/>
      <c r="AC3" s="226"/>
      <c r="AD3" s="227"/>
      <c r="AE3" s="226"/>
      <c r="AF3" s="226"/>
      <c r="AG3" s="226"/>
      <c r="AH3" s="207"/>
      <c r="AI3" s="228"/>
      <c r="AJ3" s="228"/>
      <c r="AK3" s="228"/>
      <c r="AL3" s="227"/>
      <c r="AM3" s="228"/>
      <c r="AN3" s="227"/>
      <c r="AO3" s="229"/>
      <c r="AP3" s="228"/>
      <c r="AQ3" s="227"/>
      <c r="AR3" s="229"/>
      <c r="AS3" s="228"/>
      <c r="AT3" s="228"/>
      <c r="AU3" s="228"/>
      <c r="AV3" s="227"/>
      <c r="AW3" s="230"/>
      <c r="AX3" s="206"/>
      <c r="AY3" s="230"/>
      <c r="AZ3" s="230"/>
      <c r="BA3" s="230"/>
      <c r="BB3" s="231"/>
      <c r="BC3" s="231"/>
      <c r="BD3" s="231"/>
      <c r="BE3" s="231"/>
      <c r="BF3" s="231"/>
      <c r="BG3" s="231"/>
      <c r="BH3" s="231"/>
      <c r="BI3" s="232"/>
      <c r="BJ3" s="233"/>
      <c r="BK3" s="233"/>
      <c r="BL3" s="233"/>
      <c r="BM3" s="233"/>
      <c r="BN3" s="233"/>
      <c r="BO3" s="233"/>
      <c r="BP3" s="233"/>
      <c r="BQ3" s="226"/>
      <c r="BR3" s="233"/>
      <c r="BS3" s="233"/>
      <c r="BT3" s="214"/>
      <c r="BU3" s="214"/>
      <c r="BV3" s="214"/>
      <c r="BW3" s="233"/>
      <c r="BX3" s="233"/>
      <c r="BY3" s="233"/>
      <c r="BZ3" s="233"/>
      <c r="CA3" s="234"/>
      <c r="CB3" s="235"/>
    </row>
    <row r="4" spans="1:80" s="249" customFormat="1" ht="15.75" hidden="1" thickBot="1" x14ac:dyDescent="0.3">
      <c r="A4" s="237">
        <v>3</v>
      </c>
      <c r="B4" s="238" t="s">
        <v>395</v>
      </c>
      <c r="C4" s="238" t="s">
        <v>396</v>
      </c>
      <c r="D4" s="238">
        <v>25</v>
      </c>
      <c r="E4" s="238" t="s">
        <v>391</v>
      </c>
      <c r="F4" s="238" t="s">
        <v>397</v>
      </c>
      <c r="G4" s="238" t="s">
        <v>398</v>
      </c>
      <c r="H4" s="238"/>
      <c r="I4" s="239" t="s">
        <v>399</v>
      </c>
      <c r="J4" s="239">
        <v>11126425302</v>
      </c>
      <c r="K4" s="239"/>
      <c r="L4" s="239"/>
      <c r="M4" s="240" t="s">
        <v>400</v>
      </c>
      <c r="N4" s="238" t="s">
        <v>393</v>
      </c>
      <c r="O4" s="241"/>
      <c r="P4" s="241"/>
      <c r="Q4" s="241">
        <v>1.1000000000000001</v>
      </c>
      <c r="R4" s="241">
        <v>40</v>
      </c>
      <c r="S4" s="241">
        <v>29.46</v>
      </c>
      <c r="T4" s="203">
        <f t="shared" ref="T4" si="0">(R4*(S4/1000)*PI())/60</f>
        <v>6.170087971650353E-2</v>
      </c>
      <c r="U4" s="241">
        <v>6</v>
      </c>
      <c r="V4" s="241" t="s">
        <v>382</v>
      </c>
      <c r="W4" s="241">
        <v>0.87</v>
      </c>
      <c r="X4" s="241"/>
      <c r="Y4" s="241">
        <v>10</v>
      </c>
      <c r="Z4" s="241">
        <v>2200</v>
      </c>
      <c r="AA4" s="241">
        <v>63</v>
      </c>
      <c r="AB4" s="241"/>
      <c r="AC4" s="242"/>
      <c r="AD4" s="243">
        <v>0.47</v>
      </c>
      <c r="AE4" s="242" t="s">
        <v>139</v>
      </c>
      <c r="AF4" s="242" t="s">
        <v>139</v>
      </c>
      <c r="AG4" s="242" t="s">
        <v>139</v>
      </c>
      <c r="AH4" s="241">
        <v>40</v>
      </c>
      <c r="AI4" s="243" t="s">
        <v>394</v>
      </c>
      <c r="AJ4" s="243" t="s">
        <v>385</v>
      </c>
      <c r="AK4" s="243" t="s">
        <v>386</v>
      </c>
      <c r="AL4" s="243" t="s">
        <v>387</v>
      </c>
      <c r="AM4" s="243" t="s">
        <v>388</v>
      </c>
      <c r="AN4" s="243">
        <v>504.6</v>
      </c>
      <c r="AO4" s="243"/>
      <c r="AP4" s="243"/>
      <c r="AQ4" s="243">
        <v>25</v>
      </c>
      <c r="AR4" s="243"/>
      <c r="AS4" s="243"/>
      <c r="AT4" s="243"/>
      <c r="AU4" s="243"/>
      <c r="AV4" s="243" t="s">
        <v>401</v>
      </c>
      <c r="AW4" s="243"/>
      <c r="AX4" s="243" t="s">
        <v>401</v>
      </c>
      <c r="AY4" s="243"/>
      <c r="AZ4" s="243"/>
      <c r="BA4" s="243"/>
      <c r="BB4" s="244">
        <v>470</v>
      </c>
      <c r="BC4" s="244">
        <v>70</v>
      </c>
      <c r="BD4" s="244">
        <v>55</v>
      </c>
      <c r="BE4" s="244">
        <v>30</v>
      </c>
      <c r="BF4" s="244">
        <v>490</v>
      </c>
      <c r="BG4" s="244">
        <v>450</v>
      </c>
      <c r="BH4" s="244">
        <v>300</v>
      </c>
      <c r="BI4" s="243"/>
      <c r="BJ4" s="245"/>
      <c r="BK4" s="245"/>
      <c r="BL4" s="245"/>
      <c r="BM4" s="245"/>
      <c r="BN4" s="245"/>
      <c r="BO4" s="245"/>
      <c r="BP4" s="245"/>
      <c r="BQ4" s="242"/>
      <c r="BR4" s="245"/>
      <c r="BS4" s="245"/>
      <c r="BT4" s="246"/>
      <c r="BU4" s="246"/>
      <c r="BV4" s="246"/>
      <c r="BW4" s="245"/>
      <c r="BX4" s="245"/>
      <c r="BY4" s="245"/>
      <c r="BZ4" s="245"/>
      <c r="CA4" s="247"/>
      <c r="CB4" s="248"/>
    </row>
    <row r="5" spans="1:80" s="249" customFormat="1" ht="15.75" thickBot="1" x14ac:dyDescent="0.25">
      <c r="A5" s="237">
        <v>4</v>
      </c>
      <c r="B5" s="238" t="s">
        <v>402</v>
      </c>
      <c r="C5" s="238" t="s">
        <v>403</v>
      </c>
      <c r="D5" s="238">
        <v>25</v>
      </c>
      <c r="E5" s="238"/>
      <c r="F5" s="238"/>
      <c r="G5" s="238"/>
      <c r="H5" s="238"/>
      <c r="I5" s="239"/>
      <c r="J5" s="239"/>
      <c r="K5" s="239"/>
      <c r="L5" s="250"/>
      <c r="M5" s="240"/>
      <c r="N5" s="238"/>
      <c r="O5" s="241"/>
      <c r="P5" s="241"/>
      <c r="Q5" s="241"/>
      <c r="R5" s="241"/>
      <c r="S5" s="241"/>
      <c r="T5" s="203"/>
      <c r="U5" s="241"/>
      <c r="V5" s="241"/>
      <c r="W5" s="241"/>
      <c r="X5" s="241"/>
      <c r="Y5" s="241"/>
      <c r="Z5" s="241"/>
      <c r="AA5" s="241"/>
      <c r="AB5" s="241"/>
      <c r="AC5" s="242"/>
      <c r="AD5" s="243"/>
      <c r="AE5" s="242"/>
      <c r="AF5" s="242"/>
      <c r="AG5" s="242"/>
      <c r="AH5" s="241"/>
      <c r="AI5" s="243"/>
      <c r="AJ5" s="243"/>
      <c r="AK5" s="243"/>
      <c r="AL5" s="243"/>
      <c r="AM5" s="243"/>
      <c r="AN5" s="243"/>
      <c r="AO5" s="243"/>
      <c r="AP5" s="243"/>
      <c r="AQ5" s="243"/>
      <c r="AR5" s="243"/>
      <c r="AS5" s="243"/>
      <c r="AT5" s="243"/>
      <c r="AU5" s="243"/>
      <c r="AV5" s="243"/>
      <c r="AW5" s="243"/>
      <c r="AX5" s="243"/>
      <c r="AY5" s="243"/>
      <c r="AZ5" s="243"/>
      <c r="BA5" s="243"/>
      <c r="BB5" s="244"/>
      <c r="BC5" s="244"/>
      <c r="BD5" s="244"/>
      <c r="BE5" s="244"/>
      <c r="BF5" s="244"/>
      <c r="BG5" s="244"/>
      <c r="BH5" s="244"/>
      <c r="BI5" s="243"/>
      <c r="BJ5" s="245"/>
      <c r="BK5" s="245"/>
      <c r="BL5" s="245"/>
      <c r="BM5" s="245"/>
      <c r="BN5" s="245"/>
      <c r="BO5" s="245"/>
      <c r="BP5" s="245"/>
      <c r="BQ5" s="242"/>
      <c r="BR5" s="245"/>
      <c r="BS5" s="245"/>
      <c r="BT5" s="246"/>
      <c r="BU5" s="246"/>
      <c r="BV5" s="246"/>
      <c r="BW5" s="245"/>
      <c r="BX5" s="245"/>
      <c r="BY5" s="245"/>
      <c r="BZ5" s="245"/>
      <c r="CA5" s="247"/>
      <c r="CB5" s="248"/>
    </row>
    <row r="6" spans="1:80" s="249" customFormat="1" ht="15.75" thickBot="1" x14ac:dyDescent="0.25">
      <c r="A6" s="237">
        <v>5</v>
      </c>
      <c r="B6" s="238" t="s">
        <v>405</v>
      </c>
      <c r="C6" s="238" t="s">
        <v>406</v>
      </c>
      <c r="D6" s="238">
        <v>25</v>
      </c>
      <c r="E6" s="238"/>
      <c r="F6" s="238"/>
      <c r="G6" s="238"/>
      <c r="H6" s="238"/>
      <c r="I6" s="239"/>
      <c r="J6" s="239"/>
      <c r="K6" s="239"/>
      <c r="L6" s="250"/>
      <c r="M6" s="240"/>
      <c r="N6" s="238"/>
      <c r="O6" s="241"/>
      <c r="P6" s="241"/>
      <c r="Q6" s="241"/>
      <c r="R6" s="241"/>
      <c r="S6" s="241"/>
      <c r="T6" s="203"/>
      <c r="U6" s="241"/>
      <c r="V6" s="241"/>
      <c r="W6" s="241"/>
      <c r="X6" s="241"/>
      <c r="Y6" s="241"/>
      <c r="Z6" s="241"/>
      <c r="AA6" s="241"/>
      <c r="AB6" s="241"/>
      <c r="AC6" s="242"/>
      <c r="AD6" s="243"/>
      <c r="AE6" s="242"/>
      <c r="AF6" s="242"/>
      <c r="AG6" s="242"/>
      <c r="AH6" s="241"/>
      <c r="AI6" s="243"/>
      <c r="AJ6" s="243"/>
      <c r="AK6" s="243"/>
      <c r="AL6" s="243"/>
      <c r="AM6" s="243"/>
      <c r="AN6" s="243"/>
      <c r="AO6" s="243"/>
      <c r="AP6" s="243"/>
      <c r="AQ6" s="243"/>
      <c r="AR6" s="243"/>
      <c r="AS6" s="243"/>
      <c r="AT6" s="243"/>
      <c r="AU6" s="243"/>
      <c r="AV6" s="243"/>
      <c r="AW6" s="243"/>
      <c r="AX6" s="243"/>
      <c r="AY6" s="243"/>
      <c r="AZ6" s="243"/>
      <c r="BA6" s="243"/>
      <c r="BB6" s="244"/>
      <c r="BC6" s="244"/>
      <c r="BD6" s="244"/>
      <c r="BE6" s="244"/>
      <c r="BF6" s="245"/>
      <c r="BG6" s="245"/>
      <c r="BH6" s="245"/>
      <c r="BI6" s="243"/>
      <c r="BJ6" s="245"/>
      <c r="BK6" s="245"/>
      <c r="BL6" s="245"/>
      <c r="BM6" s="245"/>
      <c r="BN6" s="245"/>
      <c r="BO6" s="245"/>
      <c r="BP6" s="245"/>
      <c r="BQ6" s="242"/>
      <c r="BR6" s="245"/>
      <c r="BS6" s="245"/>
      <c r="BT6" s="246"/>
      <c r="BU6" s="245"/>
      <c r="BV6" s="246"/>
      <c r="BW6" s="245"/>
      <c r="BX6" s="245"/>
      <c r="BY6" s="245"/>
      <c r="BZ6" s="245"/>
      <c r="CA6" s="247"/>
      <c r="CB6" s="248"/>
    </row>
    <row r="7" spans="1:80" s="236" customFormat="1" ht="15.75" thickBot="1" x14ac:dyDescent="0.25">
      <c r="A7" s="251">
        <v>6</v>
      </c>
      <c r="B7" s="224" t="s">
        <v>408</v>
      </c>
      <c r="C7" s="224" t="s">
        <v>409</v>
      </c>
      <c r="D7" s="224">
        <v>28</v>
      </c>
      <c r="E7" s="224"/>
      <c r="F7" s="224"/>
      <c r="G7" s="224"/>
      <c r="H7" s="224"/>
      <c r="I7" s="221"/>
      <c r="J7" s="221"/>
      <c r="K7" s="222"/>
      <c r="L7" s="199"/>
      <c r="M7" s="223"/>
      <c r="N7" s="224"/>
      <c r="O7" s="225"/>
      <c r="P7" s="225"/>
      <c r="Q7" s="225"/>
      <c r="R7" s="225"/>
      <c r="S7" s="225"/>
      <c r="T7" s="203"/>
      <c r="U7" s="207"/>
      <c r="V7" s="225"/>
      <c r="W7" s="207"/>
      <c r="X7" s="207"/>
      <c r="Y7" s="207"/>
      <c r="Z7" s="207"/>
      <c r="AA7" s="207"/>
      <c r="AB7" s="207"/>
      <c r="AC7" s="226"/>
      <c r="AD7" s="227"/>
      <c r="AE7" s="226"/>
      <c r="AF7" s="226"/>
      <c r="AG7" s="226"/>
      <c r="AH7" s="207"/>
      <c r="AI7" s="228"/>
      <c r="AJ7" s="228"/>
      <c r="AK7" s="228"/>
      <c r="AL7" s="227"/>
      <c r="AM7" s="228"/>
      <c r="AN7" s="227"/>
      <c r="AO7" s="229"/>
      <c r="AP7" s="228"/>
      <c r="AQ7" s="227"/>
      <c r="AR7" s="229"/>
      <c r="AS7" s="228"/>
      <c r="AT7" s="228"/>
      <c r="AU7" s="228"/>
      <c r="AV7" s="227"/>
      <c r="AW7" s="229"/>
      <c r="AX7" s="227"/>
      <c r="AY7" s="229"/>
      <c r="AZ7" s="229"/>
      <c r="BA7" s="229"/>
      <c r="BB7" s="231"/>
      <c r="BC7" s="231"/>
      <c r="BD7" s="231"/>
      <c r="BE7" s="231"/>
      <c r="BF7" s="252"/>
      <c r="BG7" s="252"/>
      <c r="BH7" s="252"/>
      <c r="BI7" s="232"/>
      <c r="BJ7" s="233"/>
      <c r="BK7" s="233"/>
      <c r="BL7" s="233"/>
      <c r="BM7" s="233"/>
      <c r="BN7" s="233"/>
      <c r="BO7" s="233"/>
      <c r="BP7" s="233"/>
      <c r="BQ7" s="226"/>
      <c r="BR7" s="233"/>
      <c r="BS7" s="233"/>
      <c r="BT7" s="214"/>
      <c r="BU7" s="233"/>
      <c r="BV7" s="214"/>
      <c r="BW7" s="253"/>
      <c r="BX7" s="253"/>
      <c r="BY7" s="253"/>
      <c r="BZ7" s="253"/>
      <c r="CA7" s="254"/>
      <c r="CB7" s="255"/>
    </row>
    <row r="8" spans="1:80" s="236" customFormat="1" ht="15.75" thickBot="1" x14ac:dyDescent="0.25">
      <c r="A8" s="251">
        <v>7</v>
      </c>
      <c r="B8" s="224" t="s">
        <v>411</v>
      </c>
      <c r="C8" s="224" t="s">
        <v>412</v>
      </c>
      <c r="D8" s="224">
        <v>28</v>
      </c>
      <c r="E8" s="224"/>
      <c r="F8" s="224"/>
      <c r="G8" s="224"/>
      <c r="H8" s="224"/>
      <c r="I8" s="221"/>
      <c r="J8" s="221"/>
      <c r="K8" s="222"/>
      <c r="L8" s="199"/>
      <c r="M8" s="223"/>
      <c r="N8" s="224"/>
      <c r="O8" s="225"/>
      <c r="P8" s="225"/>
      <c r="Q8" s="225"/>
      <c r="R8" s="225"/>
      <c r="S8" s="225"/>
      <c r="T8" s="203"/>
      <c r="U8" s="207"/>
      <c r="V8" s="225"/>
      <c r="W8" s="207"/>
      <c r="X8" s="207"/>
      <c r="Y8" s="207"/>
      <c r="Z8" s="207"/>
      <c r="AA8" s="207"/>
      <c r="AB8" s="207"/>
      <c r="AC8" s="226"/>
      <c r="AD8" s="227"/>
      <c r="AE8" s="226"/>
      <c r="AF8" s="226"/>
      <c r="AG8" s="226"/>
      <c r="AH8" s="207"/>
      <c r="AI8" s="228"/>
      <c r="AJ8" s="228"/>
      <c r="AK8" s="228"/>
      <c r="AL8" s="227"/>
      <c r="AM8" s="228"/>
      <c r="AN8" s="227"/>
      <c r="AO8" s="229"/>
      <c r="AP8" s="228"/>
      <c r="AQ8" s="227"/>
      <c r="AR8" s="229"/>
      <c r="AS8" s="228"/>
      <c r="AT8" s="228"/>
      <c r="AU8" s="228"/>
      <c r="AV8" s="227"/>
      <c r="AW8" s="229"/>
      <c r="AX8" s="227"/>
      <c r="AY8" s="229"/>
      <c r="AZ8" s="229"/>
      <c r="BA8" s="229"/>
      <c r="BB8" s="231"/>
      <c r="BC8" s="231"/>
      <c r="BD8" s="231"/>
      <c r="BE8" s="231"/>
      <c r="BF8" s="231"/>
      <c r="BG8" s="231"/>
      <c r="BH8" s="231"/>
      <c r="BI8" s="232"/>
      <c r="BJ8" s="233"/>
      <c r="BK8" s="233"/>
      <c r="BL8" s="233"/>
      <c r="BM8" s="233"/>
      <c r="BN8" s="233"/>
      <c r="BO8" s="233"/>
      <c r="BP8" s="233"/>
      <c r="BQ8" s="226"/>
      <c r="BR8" s="233"/>
      <c r="BS8" s="233"/>
      <c r="BT8" s="233"/>
      <c r="BU8" s="233"/>
      <c r="BV8" s="214"/>
      <c r="BW8" s="233"/>
      <c r="BX8" s="233"/>
      <c r="BY8" s="233"/>
      <c r="BZ8" s="233"/>
      <c r="CA8" s="234"/>
      <c r="CB8" s="235"/>
    </row>
    <row r="9" spans="1:80" s="249" customFormat="1" ht="15.75" thickBot="1" x14ac:dyDescent="0.25">
      <c r="A9" s="237">
        <v>8</v>
      </c>
      <c r="B9" s="238" t="s">
        <v>414</v>
      </c>
      <c r="C9" s="238" t="s">
        <v>415</v>
      </c>
      <c r="D9" s="238">
        <v>35</v>
      </c>
      <c r="E9" s="238"/>
      <c r="F9" s="238"/>
      <c r="G9" s="238"/>
      <c r="H9" s="238"/>
      <c r="I9" s="239"/>
      <c r="J9" s="239"/>
      <c r="K9" s="239"/>
      <c r="L9" s="250"/>
      <c r="M9" s="240"/>
      <c r="N9" s="238"/>
      <c r="O9" s="241"/>
      <c r="P9" s="241"/>
      <c r="Q9" s="241"/>
      <c r="R9" s="241"/>
      <c r="S9" s="241"/>
      <c r="T9" s="203"/>
      <c r="U9" s="241"/>
      <c r="V9" s="241"/>
      <c r="W9" s="241"/>
      <c r="X9" s="241"/>
      <c r="Y9" s="241"/>
      <c r="Z9" s="241"/>
      <c r="AA9" s="241"/>
      <c r="AB9" s="241"/>
      <c r="AC9" s="242"/>
      <c r="AD9" s="243"/>
      <c r="AE9" s="242"/>
      <c r="AF9" s="242"/>
      <c r="AG9" s="242"/>
      <c r="AH9" s="241"/>
      <c r="AI9" s="243"/>
      <c r="AJ9" s="243"/>
      <c r="AK9" s="243"/>
      <c r="AL9" s="243"/>
      <c r="AM9" s="243"/>
      <c r="AN9" s="243"/>
      <c r="AO9" s="243"/>
      <c r="AP9" s="243"/>
      <c r="AQ9" s="243"/>
      <c r="AR9" s="243"/>
      <c r="AS9" s="243"/>
      <c r="AT9" s="243"/>
      <c r="AU9" s="243"/>
      <c r="AV9" s="243"/>
      <c r="AW9" s="243"/>
      <c r="AX9" s="243"/>
      <c r="AY9" s="243"/>
      <c r="AZ9" s="243"/>
      <c r="BA9" s="243"/>
      <c r="BB9" s="244"/>
      <c r="BC9" s="244"/>
      <c r="BD9" s="244"/>
      <c r="BE9" s="244"/>
      <c r="BF9" s="244"/>
      <c r="BG9" s="244"/>
      <c r="BH9" s="244"/>
      <c r="BI9" s="243"/>
      <c r="BJ9" s="245"/>
      <c r="BK9" s="245"/>
      <c r="BL9" s="245"/>
      <c r="BM9" s="245"/>
      <c r="BN9" s="245"/>
      <c r="BO9" s="245"/>
      <c r="BP9" s="245"/>
      <c r="BQ9" s="242"/>
      <c r="BR9" s="245"/>
      <c r="BS9" s="256"/>
      <c r="BT9" s="245"/>
      <c r="BU9" s="245"/>
      <c r="BV9" s="245"/>
      <c r="BW9" s="245"/>
      <c r="BX9" s="245"/>
      <c r="BY9" s="245"/>
      <c r="BZ9" s="245"/>
      <c r="CA9" s="247"/>
      <c r="CB9" s="248"/>
    </row>
    <row r="10" spans="1:80" s="249" customFormat="1" ht="13.7" customHeight="1" thickBot="1" x14ac:dyDescent="0.25">
      <c r="A10" s="237">
        <v>9</v>
      </c>
      <c r="B10" s="238" t="s">
        <v>417</v>
      </c>
      <c r="C10" s="238" t="s">
        <v>418</v>
      </c>
      <c r="D10" s="238">
        <v>35</v>
      </c>
      <c r="E10" s="238"/>
      <c r="F10" s="238"/>
      <c r="G10" s="238"/>
      <c r="H10" s="238"/>
      <c r="I10" s="239"/>
      <c r="J10" s="239"/>
      <c r="K10" s="239"/>
      <c r="L10" s="250"/>
      <c r="M10" s="240"/>
      <c r="N10" s="238"/>
      <c r="O10" s="241"/>
      <c r="P10" s="241"/>
      <c r="Q10" s="241"/>
      <c r="R10" s="241"/>
      <c r="S10" s="241"/>
      <c r="T10" s="203"/>
      <c r="U10" s="241"/>
      <c r="V10" s="241"/>
      <c r="W10" s="241"/>
      <c r="X10" s="241"/>
      <c r="Y10" s="241"/>
      <c r="Z10" s="241"/>
      <c r="AA10" s="241"/>
      <c r="AB10" s="241"/>
      <c r="AC10" s="242"/>
      <c r="AD10" s="243"/>
      <c r="AE10" s="242"/>
      <c r="AF10" s="242"/>
      <c r="AG10" s="242"/>
      <c r="AH10" s="241"/>
      <c r="AI10" s="243"/>
      <c r="AJ10" s="243"/>
      <c r="AK10" s="243"/>
      <c r="AL10" s="243"/>
      <c r="AM10" s="243"/>
      <c r="AN10" s="243"/>
      <c r="AO10" s="243"/>
      <c r="AP10" s="243"/>
      <c r="AQ10" s="243"/>
      <c r="AR10" s="243"/>
      <c r="AS10" s="243"/>
      <c r="AT10" s="243"/>
      <c r="AU10" s="243"/>
      <c r="AV10" s="243"/>
      <c r="AW10" s="243"/>
      <c r="AX10" s="243"/>
      <c r="AY10" s="243"/>
      <c r="AZ10" s="243"/>
      <c r="BA10" s="243"/>
      <c r="BB10" s="244"/>
      <c r="BC10" s="244"/>
      <c r="BD10" s="244"/>
      <c r="BE10" s="244"/>
      <c r="BF10" s="244"/>
      <c r="BG10" s="244"/>
      <c r="BH10" s="244"/>
      <c r="BI10" s="243"/>
      <c r="BJ10" s="245"/>
      <c r="BK10" s="245"/>
      <c r="BL10" s="245"/>
      <c r="BM10" s="245"/>
      <c r="BN10" s="245"/>
      <c r="BO10" s="245"/>
      <c r="BP10" s="245"/>
      <c r="BQ10" s="242"/>
      <c r="BR10" s="245"/>
      <c r="BS10" s="256"/>
      <c r="BT10" s="246"/>
      <c r="BU10" s="246"/>
      <c r="BV10" s="245"/>
      <c r="BW10" s="245"/>
      <c r="BX10" s="245"/>
      <c r="BY10" s="245"/>
      <c r="BZ10" s="245"/>
      <c r="CA10" s="247"/>
      <c r="CB10" s="248"/>
    </row>
    <row r="11" spans="1:80" s="236" customFormat="1" ht="15.75" thickBot="1" x14ac:dyDescent="0.25">
      <c r="A11" s="251">
        <v>10</v>
      </c>
      <c r="B11" s="224" t="s">
        <v>420</v>
      </c>
      <c r="C11" s="224" t="s">
        <v>421</v>
      </c>
      <c r="D11" s="224">
        <v>45</v>
      </c>
      <c r="E11" s="224"/>
      <c r="F11" s="224"/>
      <c r="G11" s="224"/>
      <c r="H11" s="224"/>
      <c r="I11" s="221"/>
      <c r="J11" s="221"/>
      <c r="K11" s="222"/>
      <c r="L11" s="199"/>
      <c r="M11" s="223"/>
      <c r="N11" s="224"/>
      <c r="O11" s="225"/>
      <c r="P11" s="225"/>
      <c r="Q11" s="225"/>
      <c r="R11" s="225"/>
      <c r="S11" s="225"/>
      <c r="T11" s="203"/>
      <c r="U11" s="207"/>
      <c r="V11" s="225"/>
      <c r="W11" s="207"/>
      <c r="X11" s="207"/>
      <c r="Y11" s="207"/>
      <c r="Z11" s="207"/>
      <c r="AA11" s="207"/>
      <c r="AB11" s="207"/>
      <c r="AC11" s="226"/>
      <c r="AD11" s="227"/>
      <c r="AE11" s="226"/>
      <c r="AF11" s="226"/>
      <c r="AG11" s="226"/>
      <c r="AH11" s="207"/>
      <c r="AI11" s="228"/>
      <c r="AJ11" s="228"/>
      <c r="AK11" s="228"/>
      <c r="AL11" s="227"/>
      <c r="AM11" s="228"/>
      <c r="AN11" s="227"/>
      <c r="AO11" s="229"/>
      <c r="AP11" s="228"/>
      <c r="AQ11" s="227"/>
      <c r="AR11" s="229"/>
      <c r="AS11" s="228"/>
      <c r="AT11" s="228"/>
      <c r="AU11" s="228"/>
      <c r="AV11" s="227"/>
      <c r="AW11" s="229"/>
      <c r="AX11" s="227"/>
      <c r="AY11" s="229"/>
      <c r="AZ11" s="229"/>
      <c r="BA11" s="229"/>
      <c r="BB11" s="231"/>
      <c r="BC11" s="231"/>
      <c r="BD11" s="231"/>
      <c r="BE11" s="231"/>
      <c r="BF11" s="231"/>
      <c r="BG11" s="231"/>
      <c r="BH11" s="231"/>
      <c r="BI11" s="232"/>
      <c r="BJ11" s="233"/>
      <c r="BK11" s="233"/>
      <c r="BL11" s="233"/>
      <c r="BM11" s="233"/>
      <c r="BN11" s="233"/>
      <c r="BO11" s="233"/>
      <c r="BP11" s="233"/>
      <c r="BQ11" s="226"/>
      <c r="BR11" s="233"/>
      <c r="BS11" s="257"/>
      <c r="BT11" s="214"/>
      <c r="BU11" s="214"/>
      <c r="BV11" s="233"/>
      <c r="BW11" s="253"/>
      <c r="BX11" s="253"/>
      <c r="BY11" s="253"/>
      <c r="BZ11" s="253"/>
      <c r="CA11" s="254"/>
      <c r="CB11" s="255"/>
    </row>
    <row r="12" spans="1:80" s="236" customFormat="1" ht="15.75" thickBot="1" x14ac:dyDescent="0.25">
      <c r="A12" s="251">
        <v>11</v>
      </c>
      <c r="B12" s="224" t="s">
        <v>423</v>
      </c>
      <c r="C12" s="224" t="s">
        <v>424</v>
      </c>
      <c r="D12" s="224">
        <v>45</v>
      </c>
      <c r="E12" s="224"/>
      <c r="F12" s="224"/>
      <c r="G12" s="224"/>
      <c r="H12" s="224"/>
      <c r="I12" s="221"/>
      <c r="J12" s="221"/>
      <c r="K12" s="222"/>
      <c r="L12" s="199"/>
      <c r="M12" s="223"/>
      <c r="N12" s="224"/>
      <c r="O12" s="225"/>
      <c r="P12" s="225"/>
      <c r="Q12" s="225"/>
      <c r="R12" s="225"/>
      <c r="S12" s="225"/>
      <c r="T12" s="203"/>
      <c r="U12" s="207"/>
      <c r="V12" s="225"/>
      <c r="W12" s="207"/>
      <c r="X12" s="207"/>
      <c r="Y12" s="207"/>
      <c r="Z12" s="207"/>
      <c r="AA12" s="207"/>
      <c r="AB12" s="207"/>
      <c r="AC12" s="226"/>
      <c r="AD12" s="227"/>
      <c r="AE12" s="226"/>
      <c r="AF12" s="226"/>
      <c r="AG12" s="226"/>
      <c r="AH12" s="207"/>
      <c r="AI12" s="228"/>
      <c r="AJ12" s="228"/>
      <c r="AK12" s="228"/>
      <c r="AL12" s="227"/>
      <c r="AM12" s="228"/>
      <c r="AN12" s="227"/>
      <c r="AO12" s="229"/>
      <c r="AP12" s="228"/>
      <c r="AQ12" s="227"/>
      <c r="AR12" s="229"/>
      <c r="AS12" s="228"/>
      <c r="AT12" s="228"/>
      <c r="AU12" s="228"/>
      <c r="AV12" s="227"/>
      <c r="AW12" s="229"/>
      <c r="AX12" s="227"/>
      <c r="AY12" s="229"/>
      <c r="AZ12" s="229"/>
      <c r="BA12" s="229"/>
      <c r="BB12" s="231"/>
      <c r="BC12" s="231"/>
      <c r="BD12" s="231"/>
      <c r="BE12" s="231"/>
      <c r="BF12" s="231"/>
      <c r="BG12" s="231"/>
      <c r="BH12" s="231"/>
      <c r="BI12" s="232"/>
      <c r="BJ12" s="233"/>
      <c r="BK12" s="233"/>
      <c r="BL12" s="233"/>
      <c r="BM12" s="233"/>
      <c r="BN12" s="233"/>
      <c r="BO12" s="233"/>
      <c r="BP12" s="233"/>
      <c r="BQ12" s="226"/>
      <c r="BR12" s="233"/>
      <c r="BS12" s="257"/>
      <c r="BT12" s="214"/>
      <c r="BU12" s="214"/>
      <c r="BV12" s="233"/>
      <c r="BW12" s="253"/>
      <c r="BX12" s="253"/>
      <c r="BY12" s="253"/>
      <c r="BZ12" s="253"/>
      <c r="CA12" s="254"/>
      <c r="CB12" s="255"/>
    </row>
    <row r="13" spans="1:80" s="236" customFormat="1" ht="15.75" thickBot="1" x14ac:dyDescent="0.25">
      <c r="A13" s="251">
        <v>12</v>
      </c>
      <c r="B13" s="224" t="s">
        <v>426</v>
      </c>
      <c r="C13" s="224" t="s">
        <v>427</v>
      </c>
      <c r="D13" s="224">
        <v>45</v>
      </c>
      <c r="E13" s="224"/>
      <c r="F13" s="224"/>
      <c r="G13" s="224"/>
      <c r="H13" s="224"/>
      <c r="I13" s="221"/>
      <c r="J13" s="221"/>
      <c r="K13" s="222"/>
      <c r="L13" s="199"/>
      <c r="M13" s="223"/>
      <c r="N13" s="224"/>
      <c r="O13" s="225"/>
      <c r="P13" s="225"/>
      <c r="Q13" s="225"/>
      <c r="R13" s="225"/>
      <c r="S13" s="225"/>
      <c r="T13" s="203"/>
      <c r="U13" s="207"/>
      <c r="V13" s="225"/>
      <c r="W13" s="207"/>
      <c r="X13" s="207"/>
      <c r="Y13" s="207"/>
      <c r="Z13" s="207"/>
      <c r="AA13" s="207"/>
      <c r="AB13" s="207"/>
      <c r="AC13" s="226"/>
      <c r="AD13" s="227"/>
      <c r="AE13" s="226"/>
      <c r="AF13" s="226"/>
      <c r="AG13" s="226"/>
      <c r="AH13" s="207"/>
      <c r="AI13" s="228"/>
      <c r="AJ13" s="228"/>
      <c r="AK13" s="228"/>
      <c r="AL13" s="227"/>
      <c r="AM13" s="228"/>
      <c r="AN13" s="227"/>
      <c r="AO13" s="229"/>
      <c r="AP13" s="228"/>
      <c r="AQ13" s="227"/>
      <c r="AR13" s="229"/>
      <c r="AS13" s="228"/>
      <c r="AT13" s="228"/>
      <c r="AU13" s="228"/>
      <c r="AV13" s="227"/>
      <c r="AW13" s="229"/>
      <c r="AX13" s="227"/>
      <c r="AY13" s="229"/>
      <c r="AZ13" s="229"/>
      <c r="BA13" s="229"/>
      <c r="BB13" s="231"/>
      <c r="BC13" s="231"/>
      <c r="BD13" s="231"/>
      <c r="BE13" s="231"/>
      <c r="BF13" s="231"/>
      <c r="BG13" s="231"/>
      <c r="BH13" s="231"/>
      <c r="BI13" s="232"/>
      <c r="BJ13" s="233"/>
      <c r="BK13" s="233"/>
      <c r="BL13" s="233"/>
      <c r="BM13" s="233"/>
      <c r="BN13" s="233"/>
      <c r="BO13" s="233"/>
      <c r="BP13" s="233"/>
      <c r="BQ13" s="226"/>
      <c r="BR13" s="233"/>
      <c r="BS13" s="257"/>
      <c r="BT13" s="214"/>
      <c r="BU13" s="214"/>
      <c r="BV13" s="214"/>
      <c r="BW13" s="233"/>
      <c r="BX13" s="233"/>
      <c r="BY13" s="233"/>
      <c r="BZ13" s="233"/>
      <c r="CA13" s="234"/>
      <c r="CB13" s="235"/>
    </row>
    <row r="14" spans="1:80" s="236" customFormat="1" ht="15.75" thickBot="1" x14ac:dyDescent="0.25">
      <c r="A14" s="251">
        <v>13</v>
      </c>
      <c r="B14" s="224" t="s">
        <v>429</v>
      </c>
      <c r="C14" s="224" t="s">
        <v>430</v>
      </c>
      <c r="D14" s="224">
        <v>45</v>
      </c>
      <c r="E14" s="224"/>
      <c r="F14" s="224"/>
      <c r="G14" s="224"/>
      <c r="H14" s="224"/>
      <c r="I14" s="221"/>
      <c r="J14" s="221"/>
      <c r="K14" s="222"/>
      <c r="L14" s="199"/>
      <c r="M14" s="223"/>
      <c r="N14" s="224"/>
      <c r="O14" s="225"/>
      <c r="P14" s="225"/>
      <c r="Q14" s="225"/>
      <c r="R14" s="225"/>
      <c r="S14" s="225"/>
      <c r="T14" s="203"/>
      <c r="U14" s="207"/>
      <c r="V14" s="225"/>
      <c r="W14" s="207"/>
      <c r="X14" s="207"/>
      <c r="Y14" s="207"/>
      <c r="Z14" s="207"/>
      <c r="AA14" s="207"/>
      <c r="AB14" s="207"/>
      <c r="AC14" s="226"/>
      <c r="AD14" s="227"/>
      <c r="AE14" s="226"/>
      <c r="AF14" s="226"/>
      <c r="AG14" s="226"/>
      <c r="AH14" s="207"/>
      <c r="AI14" s="228"/>
      <c r="AJ14" s="228"/>
      <c r="AK14" s="228"/>
      <c r="AL14" s="227"/>
      <c r="AM14" s="228"/>
      <c r="AN14" s="227"/>
      <c r="AO14" s="229"/>
      <c r="AP14" s="228"/>
      <c r="AQ14" s="227"/>
      <c r="AR14" s="229"/>
      <c r="AS14" s="228"/>
      <c r="AT14" s="228"/>
      <c r="AU14" s="228"/>
      <c r="AV14" s="227"/>
      <c r="AW14" s="229"/>
      <c r="AX14" s="227"/>
      <c r="AY14" s="229"/>
      <c r="AZ14" s="229"/>
      <c r="BA14" s="229"/>
      <c r="BB14" s="231"/>
      <c r="BC14" s="231"/>
      <c r="BD14" s="231"/>
      <c r="BE14" s="231"/>
      <c r="BF14" s="231"/>
      <c r="BG14" s="231"/>
      <c r="BH14" s="231"/>
      <c r="BI14" s="232"/>
      <c r="BJ14" s="233"/>
      <c r="BK14" s="233"/>
      <c r="BL14" s="233"/>
      <c r="BM14" s="233"/>
      <c r="BN14" s="233"/>
      <c r="BO14" s="233"/>
      <c r="BP14" s="233"/>
      <c r="BQ14" s="226"/>
      <c r="BR14" s="233"/>
      <c r="BS14" s="257"/>
      <c r="BT14" s="214"/>
      <c r="BU14" s="233"/>
      <c r="BV14" s="233"/>
      <c r="BW14" s="233"/>
      <c r="BX14" s="233"/>
      <c r="BY14" s="233"/>
      <c r="BZ14" s="233"/>
      <c r="CA14" s="234"/>
      <c r="CB14" s="235"/>
    </row>
    <row r="15" spans="1:80" s="272" customFormat="1" ht="15.75" hidden="1" thickBot="1" x14ac:dyDescent="0.25">
      <c r="A15" s="258">
        <v>14</v>
      </c>
      <c r="B15" s="259" t="s">
        <v>432</v>
      </c>
      <c r="C15" s="259" t="s">
        <v>433</v>
      </c>
      <c r="D15" s="259" t="s">
        <v>137</v>
      </c>
      <c r="E15" s="259" t="s">
        <v>378</v>
      </c>
      <c r="F15" s="259" t="s">
        <v>434</v>
      </c>
      <c r="G15" s="259" t="s">
        <v>435</v>
      </c>
      <c r="H15" s="259"/>
      <c r="I15" s="260" t="s">
        <v>436</v>
      </c>
      <c r="J15" s="260">
        <v>11126450000</v>
      </c>
      <c r="K15" s="222" t="s">
        <v>437</v>
      </c>
      <c r="L15" s="199" t="s">
        <v>379</v>
      </c>
      <c r="M15" s="261" t="s">
        <v>438</v>
      </c>
      <c r="N15" s="262" t="s">
        <v>381</v>
      </c>
      <c r="O15" s="263" t="s">
        <v>251</v>
      </c>
      <c r="P15" s="263" t="s">
        <v>251</v>
      </c>
      <c r="Q15" s="263">
        <v>1</v>
      </c>
      <c r="R15" s="263">
        <v>12</v>
      </c>
      <c r="S15" s="263"/>
      <c r="T15" s="264"/>
      <c r="U15" s="207">
        <v>6</v>
      </c>
      <c r="V15" s="263" t="s">
        <v>382</v>
      </c>
      <c r="W15" s="207">
        <v>0.67</v>
      </c>
      <c r="X15" s="207"/>
      <c r="Y15" s="207">
        <v>8</v>
      </c>
      <c r="Z15" s="207" t="s">
        <v>139</v>
      </c>
      <c r="AA15" s="207">
        <v>60</v>
      </c>
      <c r="AB15" s="207"/>
      <c r="AC15" s="265"/>
      <c r="AD15" s="227">
        <v>0.4</v>
      </c>
      <c r="AE15" s="265">
        <v>433.92</v>
      </c>
      <c r="AF15" s="265" t="s">
        <v>383</v>
      </c>
      <c r="AG15" s="265" t="s">
        <v>384</v>
      </c>
      <c r="AH15" s="207">
        <v>40</v>
      </c>
      <c r="AI15" s="266" t="s">
        <v>394</v>
      </c>
      <c r="AJ15" s="266" t="s">
        <v>385</v>
      </c>
      <c r="AK15" s="266" t="s">
        <v>386</v>
      </c>
      <c r="AL15" s="227" t="s">
        <v>387</v>
      </c>
      <c r="AM15" s="266" t="s">
        <v>388</v>
      </c>
      <c r="AN15" s="227">
        <v>90</v>
      </c>
      <c r="AO15" s="229"/>
      <c r="AP15" s="266"/>
      <c r="AQ15" s="227">
        <v>50</v>
      </c>
      <c r="AR15" s="229"/>
      <c r="AS15" s="266"/>
      <c r="AT15" s="266"/>
      <c r="AU15" s="266"/>
      <c r="AV15" s="227">
        <v>350</v>
      </c>
      <c r="AW15" s="229"/>
      <c r="AX15" s="227">
        <v>165</v>
      </c>
      <c r="AY15" s="229"/>
      <c r="AZ15" s="229"/>
      <c r="BA15" s="229"/>
      <c r="BB15" s="231">
        <v>105</v>
      </c>
      <c r="BC15" s="231">
        <v>65</v>
      </c>
      <c r="BD15" s="231">
        <v>55</v>
      </c>
      <c r="BE15" s="231">
        <v>30</v>
      </c>
      <c r="BF15" s="231">
        <v>350</v>
      </c>
      <c r="BG15" s="231">
        <v>230</v>
      </c>
      <c r="BH15" s="231">
        <v>190</v>
      </c>
      <c r="BI15" s="232"/>
      <c r="BJ15" s="267"/>
      <c r="BK15" s="267"/>
      <c r="BL15" s="267"/>
      <c r="BM15" s="267"/>
      <c r="BN15" s="267"/>
      <c r="BO15" s="267"/>
      <c r="BP15" s="267"/>
      <c r="BQ15" s="265"/>
      <c r="BR15" s="267"/>
      <c r="BS15" s="268"/>
      <c r="BT15" s="269"/>
      <c r="BU15" s="267"/>
      <c r="BV15" s="267"/>
      <c r="BW15" s="267"/>
      <c r="BX15" s="267"/>
      <c r="BY15" s="267"/>
      <c r="BZ15" s="267"/>
      <c r="CA15" s="270"/>
      <c r="CB15" s="271"/>
    </row>
    <row r="16" spans="1:80" s="289" customFormat="1" ht="15.75" hidden="1" thickBot="1" x14ac:dyDescent="0.25">
      <c r="A16" s="273">
        <v>15</v>
      </c>
      <c r="B16" s="274" t="s">
        <v>439</v>
      </c>
      <c r="C16" s="274" t="s">
        <v>440</v>
      </c>
      <c r="D16" s="274" t="s">
        <v>137</v>
      </c>
      <c r="E16" s="274"/>
      <c r="F16" s="274"/>
      <c r="G16" s="274"/>
      <c r="H16" s="274"/>
      <c r="I16" s="275" t="s">
        <v>441</v>
      </c>
      <c r="J16" s="275"/>
      <c r="K16" s="276" t="s">
        <v>442</v>
      </c>
      <c r="L16" s="277" t="s">
        <v>379</v>
      </c>
      <c r="M16" s="275" t="s">
        <v>443</v>
      </c>
      <c r="N16" s="278" t="s">
        <v>381</v>
      </c>
      <c r="O16" s="279"/>
      <c r="P16" s="279"/>
      <c r="Q16" s="279">
        <v>0.6</v>
      </c>
      <c r="R16" s="279">
        <v>34</v>
      </c>
      <c r="S16" s="279"/>
      <c r="T16" s="280"/>
      <c r="U16" s="279"/>
      <c r="V16" s="279" t="s">
        <v>382</v>
      </c>
      <c r="W16" s="279"/>
      <c r="X16" s="279"/>
      <c r="Y16" s="279"/>
      <c r="Z16" s="279" t="s">
        <v>139</v>
      </c>
      <c r="AA16" s="279"/>
      <c r="AB16" s="279"/>
      <c r="AC16" s="281"/>
      <c r="AD16" s="282">
        <f t="shared" ref="AD16" si="1">AC16*0.45359237</f>
        <v>0</v>
      </c>
      <c r="AE16" s="281">
        <v>433.92</v>
      </c>
      <c r="AF16" s="281" t="s">
        <v>383</v>
      </c>
      <c r="AG16" s="281" t="s">
        <v>384</v>
      </c>
      <c r="AH16" s="281"/>
      <c r="AI16" s="282" t="s">
        <v>394</v>
      </c>
      <c r="AJ16" s="282" t="s">
        <v>385</v>
      </c>
      <c r="AK16" s="282" t="s">
        <v>386</v>
      </c>
      <c r="AL16" s="282"/>
      <c r="AM16" s="282" t="s">
        <v>388</v>
      </c>
      <c r="AN16" s="282"/>
      <c r="AO16" s="229"/>
      <c r="AP16" s="282"/>
      <c r="AQ16" s="282">
        <v>24</v>
      </c>
      <c r="AR16" s="229"/>
      <c r="AS16" s="282"/>
      <c r="AT16" s="282"/>
      <c r="AU16" s="282"/>
      <c r="AV16" s="282"/>
      <c r="AW16" s="229"/>
      <c r="AX16" s="282"/>
      <c r="AY16" s="229"/>
      <c r="AZ16" s="229"/>
      <c r="BA16" s="229"/>
      <c r="BB16" s="283"/>
      <c r="BC16" s="283"/>
      <c r="BD16" s="283"/>
      <c r="BE16" s="283"/>
      <c r="BF16" s="283"/>
      <c r="BG16" s="283"/>
      <c r="BH16" s="283"/>
      <c r="BI16" s="282"/>
      <c r="BJ16" s="284"/>
      <c r="BK16" s="284"/>
      <c r="BL16" s="284"/>
      <c r="BM16" s="284"/>
      <c r="BN16" s="284"/>
      <c r="BO16" s="284"/>
      <c r="BP16" s="284"/>
      <c r="BQ16" s="281"/>
      <c r="BR16" s="284"/>
      <c r="BS16" s="285"/>
      <c r="BT16" s="286"/>
      <c r="BU16" s="284"/>
      <c r="BV16" s="284"/>
      <c r="BW16" s="284"/>
      <c r="BX16" s="284"/>
      <c r="BY16" s="284"/>
      <c r="BZ16" s="284"/>
      <c r="CA16" s="287"/>
      <c r="CB16" s="288"/>
    </row>
    <row r="17" spans="1:80" s="272" customFormat="1" ht="30.75" hidden="1" thickBot="1" x14ac:dyDescent="0.3">
      <c r="A17" s="258">
        <v>16</v>
      </c>
      <c r="B17" s="259" t="s">
        <v>444</v>
      </c>
      <c r="C17" s="259" t="s">
        <v>445</v>
      </c>
      <c r="D17" s="259" t="s">
        <v>137</v>
      </c>
      <c r="E17" s="259" t="s">
        <v>378</v>
      </c>
      <c r="F17" s="259" t="s">
        <v>446</v>
      </c>
      <c r="G17" s="259" t="s">
        <v>447</v>
      </c>
      <c r="H17" s="259"/>
      <c r="I17" s="260" t="s">
        <v>448</v>
      </c>
      <c r="J17" s="260">
        <v>11126424075</v>
      </c>
      <c r="K17" s="222"/>
      <c r="L17" s="290"/>
      <c r="M17" s="261" t="s">
        <v>449</v>
      </c>
      <c r="N17" s="262" t="s">
        <v>381</v>
      </c>
      <c r="O17" s="263"/>
      <c r="P17" s="263"/>
      <c r="Q17" s="263">
        <v>0.6</v>
      </c>
      <c r="R17" s="263">
        <v>50</v>
      </c>
      <c r="S17" s="263"/>
      <c r="T17" s="264"/>
      <c r="U17" s="207">
        <v>6</v>
      </c>
      <c r="V17" s="263" t="s">
        <v>382</v>
      </c>
      <c r="W17" s="207">
        <v>1</v>
      </c>
      <c r="X17" s="207"/>
      <c r="Y17" s="207">
        <v>12</v>
      </c>
      <c r="Z17" s="207" t="s">
        <v>139</v>
      </c>
      <c r="AA17" s="207">
        <v>60</v>
      </c>
      <c r="AB17" s="207"/>
      <c r="AC17" s="265"/>
      <c r="AD17" s="227">
        <v>0.14000000000000001</v>
      </c>
      <c r="AE17" s="265">
        <v>433.92</v>
      </c>
      <c r="AF17" s="265" t="s">
        <v>383</v>
      </c>
      <c r="AG17" s="265" t="s">
        <v>384</v>
      </c>
      <c r="AH17" s="207">
        <v>40</v>
      </c>
      <c r="AI17" s="266" t="s">
        <v>394</v>
      </c>
      <c r="AJ17" s="266" t="s">
        <v>385</v>
      </c>
      <c r="AK17" s="266" t="s">
        <v>386</v>
      </c>
      <c r="AL17" s="227" t="s">
        <v>387</v>
      </c>
      <c r="AM17" s="266" t="s">
        <v>388</v>
      </c>
      <c r="AN17" s="227">
        <v>130</v>
      </c>
      <c r="AO17" s="229"/>
      <c r="AP17" s="266"/>
      <c r="AQ17" s="227">
        <v>24</v>
      </c>
      <c r="AR17" s="229"/>
      <c r="AS17" s="266"/>
      <c r="AT17" s="266"/>
      <c r="AU17" s="266"/>
      <c r="AV17" s="266"/>
      <c r="AW17" s="229"/>
      <c r="AX17" s="227">
        <v>165</v>
      </c>
      <c r="AY17" s="229"/>
      <c r="AZ17" s="229"/>
      <c r="BA17" s="229"/>
      <c r="BB17" s="231">
        <v>150</v>
      </c>
      <c r="BC17" s="231">
        <v>60</v>
      </c>
      <c r="BD17" s="231">
        <v>50</v>
      </c>
      <c r="BE17" s="231">
        <v>100</v>
      </c>
      <c r="BF17" s="231">
        <v>620</v>
      </c>
      <c r="BG17" s="231">
        <v>320</v>
      </c>
      <c r="BH17" s="231">
        <v>275</v>
      </c>
      <c r="BI17" s="232"/>
      <c r="BJ17" s="267"/>
      <c r="BK17" s="267"/>
      <c r="BL17" s="267"/>
      <c r="BM17" s="267"/>
      <c r="BN17" s="267"/>
      <c r="BO17" s="267"/>
      <c r="BP17" s="267"/>
      <c r="BQ17" s="265"/>
      <c r="BR17" s="267"/>
      <c r="BS17" s="268"/>
      <c r="BT17" s="269"/>
      <c r="BU17" s="267"/>
      <c r="BV17" s="267"/>
      <c r="BW17" s="267"/>
      <c r="BX17" s="267"/>
      <c r="BY17" s="267"/>
      <c r="BZ17" s="267"/>
      <c r="CA17" s="270"/>
      <c r="CB17" s="271"/>
    </row>
    <row r="18" spans="1:80" ht="15.75" hidden="1" thickBot="1" x14ac:dyDescent="0.3">
      <c r="A18" s="291" t="s">
        <v>255</v>
      </c>
      <c r="B18" s="292"/>
      <c r="C18" s="292"/>
      <c r="D18" s="292"/>
      <c r="E18" s="292"/>
      <c r="F18" s="292"/>
      <c r="G18" s="292"/>
      <c r="H18" s="292"/>
      <c r="I18" s="293"/>
      <c r="J18" s="293"/>
      <c r="K18" s="293"/>
      <c r="L18" s="293"/>
      <c r="M18" s="253"/>
      <c r="N18" s="292"/>
      <c r="O18" s="294"/>
      <c r="P18" s="294"/>
      <c r="Q18" s="294"/>
      <c r="R18" s="294"/>
      <c r="S18" s="294"/>
      <c r="T18" s="295"/>
      <c r="U18" s="294"/>
      <c r="V18" s="294"/>
      <c r="W18" s="294"/>
      <c r="X18" s="294"/>
      <c r="Y18" s="294"/>
      <c r="Z18" s="294"/>
      <c r="AA18" s="294"/>
      <c r="AB18" s="294"/>
      <c r="AC18" s="296"/>
      <c r="AD18" s="232"/>
      <c r="AE18" s="296"/>
      <c r="AF18" s="296"/>
      <c r="AG18" s="296"/>
      <c r="AH18" s="296"/>
      <c r="AI18" s="232"/>
      <c r="AJ18" s="232"/>
      <c r="AK18" s="232"/>
      <c r="AL18" s="232"/>
      <c r="AM18" s="232"/>
      <c r="AN18" s="232"/>
      <c r="AO18" s="229"/>
      <c r="AP18" s="232"/>
      <c r="AQ18" s="232"/>
      <c r="AR18" s="229"/>
      <c r="AS18" s="232"/>
      <c r="AT18" s="232"/>
      <c r="AU18" s="232"/>
      <c r="AV18" s="232"/>
      <c r="AW18" s="229"/>
      <c r="AX18" s="232"/>
      <c r="AY18" s="229"/>
      <c r="AZ18" s="229"/>
      <c r="BA18" s="229"/>
      <c r="BB18" s="297"/>
      <c r="BC18" s="297"/>
      <c r="BD18" s="297"/>
      <c r="BE18" s="297"/>
      <c r="BF18" s="297"/>
      <c r="BG18" s="297"/>
      <c r="BH18" s="297"/>
      <c r="BI18" s="232"/>
      <c r="BJ18" s="253"/>
      <c r="BK18" s="253"/>
      <c r="BL18" s="253"/>
      <c r="BM18" s="253"/>
      <c r="BN18" s="253"/>
      <c r="BO18" s="253"/>
      <c r="BP18" s="253"/>
      <c r="BQ18" s="296"/>
      <c r="BR18" s="253"/>
      <c r="BS18" s="298"/>
      <c r="BT18" s="298"/>
      <c r="BU18" s="298"/>
      <c r="BV18" s="298"/>
      <c r="BW18" s="253"/>
      <c r="BX18" s="253"/>
      <c r="BY18" s="253"/>
      <c r="BZ18" s="253"/>
      <c r="CA18" s="254"/>
      <c r="CB18" s="255"/>
    </row>
    <row r="19" spans="1:80" ht="15.75" thickBot="1" x14ac:dyDescent="0.3">
      <c r="A19" s="219">
        <v>17</v>
      </c>
      <c r="B19" s="220" t="s">
        <v>450</v>
      </c>
      <c r="C19" s="220" t="s">
        <v>451</v>
      </c>
      <c r="D19" s="220">
        <v>35</v>
      </c>
      <c r="E19" s="220"/>
      <c r="F19" s="220"/>
      <c r="G19" s="220"/>
      <c r="H19" s="220"/>
      <c r="I19" s="300"/>
      <c r="J19" s="300"/>
      <c r="K19" s="222"/>
      <c r="L19" s="199"/>
      <c r="M19" s="301"/>
      <c r="N19" s="224"/>
      <c r="O19" s="225"/>
      <c r="P19" s="225"/>
      <c r="Q19" s="225"/>
      <c r="R19" s="225"/>
      <c r="S19" s="225"/>
      <c r="T19" s="203"/>
      <c r="U19" s="207"/>
      <c r="V19" s="225"/>
      <c r="W19" s="207"/>
      <c r="X19" s="207"/>
      <c r="Y19" s="207"/>
      <c r="Z19" s="207"/>
      <c r="AA19" s="207"/>
      <c r="AB19" s="207"/>
      <c r="AC19" s="226"/>
      <c r="AD19" s="227"/>
      <c r="AE19" s="207"/>
      <c r="AF19" s="207"/>
      <c r="AG19" s="207"/>
      <c r="AH19" s="207"/>
      <c r="AI19" s="227"/>
      <c r="AJ19" s="228"/>
      <c r="AK19" s="228"/>
      <c r="AL19" s="227"/>
      <c r="AM19" s="227"/>
      <c r="AN19" s="227"/>
      <c r="AO19" s="229"/>
      <c r="AP19" s="228"/>
      <c r="AQ19" s="227"/>
      <c r="AR19" s="229"/>
      <c r="AS19" s="228"/>
      <c r="AT19" s="228"/>
      <c r="AU19" s="228"/>
      <c r="AV19" s="227"/>
      <c r="AW19" s="229"/>
      <c r="AX19" s="227"/>
      <c r="AY19" s="229"/>
      <c r="AZ19" s="229"/>
      <c r="BA19" s="229"/>
      <c r="BB19" s="231"/>
      <c r="BC19" s="231"/>
      <c r="BD19" s="231"/>
      <c r="BE19" s="231"/>
      <c r="BF19" s="231"/>
      <c r="BG19" s="231"/>
      <c r="BH19" s="231"/>
      <c r="BI19" s="232"/>
      <c r="BJ19" s="233"/>
      <c r="BK19" s="233"/>
      <c r="BL19" s="253"/>
      <c r="BM19" s="233"/>
      <c r="BN19" s="233"/>
      <c r="BO19" s="253"/>
      <c r="BP19" s="233"/>
      <c r="BQ19" s="226"/>
      <c r="BR19" s="233"/>
      <c r="BS19" s="302"/>
      <c r="BT19" s="302"/>
      <c r="BU19" s="302"/>
      <c r="BV19" s="302"/>
      <c r="BW19" s="253"/>
      <c r="BX19" s="253"/>
      <c r="BY19" s="253"/>
      <c r="BZ19" s="253"/>
      <c r="CA19" s="254"/>
      <c r="CB19" s="255"/>
    </row>
    <row r="20" spans="1:80" ht="15.75" thickBot="1" x14ac:dyDescent="0.3">
      <c r="A20" s="219">
        <v>18</v>
      </c>
      <c r="B20" s="220" t="s">
        <v>456</v>
      </c>
      <c r="C20" s="220" t="s">
        <v>457</v>
      </c>
      <c r="D20" s="220">
        <v>35</v>
      </c>
      <c r="E20" s="220"/>
      <c r="F20" s="220"/>
      <c r="G20" s="220"/>
      <c r="H20" s="220"/>
      <c r="I20" s="300"/>
      <c r="J20" s="300"/>
      <c r="K20" s="222"/>
      <c r="L20" s="199"/>
      <c r="M20" s="301"/>
      <c r="N20" s="224"/>
      <c r="O20" s="225"/>
      <c r="P20" s="225"/>
      <c r="Q20" s="225"/>
      <c r="R20" s="207"/>
      <c r="S20" s="207"/>
      <c r="T20" s="203"/>
      <c r="U20" s="207"/>
      <c r="V20" s="225"/>
      <c r="W20" s="207"/>
      <c r="X20" s="207"/>
      <c r="Y20" s="207"/>
      <c r="Z20" s="207"/>
      <c r="AA20" s="207"/>
      <c r="AB20" s="207"/>
      <c r="AC20" s="226"/>
      <c r="AD20" s="227"/>
      <c r="AE20" s="207"/>
      <c r="AF20" s="207"/>
      <c r="AG20" s="207"/>
      <c r="AH20" s="207"/>
      <c r="AI20" s="227"/>
      <c r="AJ20" s="228"/>
      <c r="AK20" s="228"/>
      <c r="AL20" s="227"/>
      <c r="AM20" s="227"/>
      <c r="AN20" s="227"/>
      <c r="AO20" s="229"/>
      <c r="AP20" s="228"/>
      <c r="AQ20" s="227"/>
      <c r="AR20" s="229"/>
      <c r="AS20" s="228"/>
      <c r="AT20" s="228"/>
      <c r="AU20" s="228"/>
      <c r="AV20" s="227"/>
      <c r="AW20" s="229"/>
      <c r="AX20" s="227"/>
      <c r="AY20" s="229"/>
      <c r="AZ20" s="229"/>
      <c r="BA20" s="229"/>
      <c r="BB20" s="231"/>
      <c r="BC20" s="231"/>
      <c r="BD20" s="231"/>
      <c r="BE20" s="231"/>
      <c r="BF20" s="231"/>
      <c r="BG20" s="231"/>
      <c r="BH20" s="231"/>
      <c r="BI20" s="232"/>
      <c r="BJ20" s="233"/>
      <c r="BK20" s="233"/>
      <c r="BL20" s="253"/>
      <c r="BM20" s="233"/>
      <c r="BN20" s="233"/>
      <c r="BO20" s="253"/>
      <c r="BP20" s="233"/>
      <c r="BQ20" s="226"/>
      <c r="BR20" s="233"/>
      <c r="BS20" s="302"/>
      <c r="BT20" s="302"/>
      <c r="BU20" s="302"/>
      <c r="BV20" s="302"/>
      <c r="BW20" s="253"/>
      <c r="BX20" s="253"/>
      <c r="BY20" s="253"/>
      <c r="BZ20" s="253"/>
      <c r="CA20" s="254"/>
      <c r="CB20" s="255"/>
    </row>
    <row r="21" spans="1:80" ht="15.75" thickBot="1" x14ac:dyDescent="0.3">
      <c r="A21" s="219">
        <v>19</v>
      </c>
      <c r="B21" s="224" t="s">
        <v>459</v>
      </c>
      <c r="C21" s="224" t="s">
        <v>460</v>
      </c>
      <c r="D21" s="224">
        <v>35</v>
      </c>
      <c r="E21" s="224"/>
      <c r="F21" s="224"/>
      <c r="G21" s="224"/>
      <c r="H21" s="224"/>
      <c r="I21" s="300"/>
      <c r="J21" s="300"/>
      <c r="K21" s="222"/>
      <c r="L21" s="199"/>
      <c r="M21" s="301"/>
      <c r="N21" s="224"/>
      <c r="O21" s="225"/>
      <c r="P21" s="225"/>
      <c r="Q21" s="225"/>
      <c r="R21" s="225"/>
      <c r="S21" s="225"/>
      <c r="T21" s="203"/>
      <c r="U21" s="207"/>
      <c r="V21" s="225"/>
      <c r="W21" s="207"/>
      <c r="X21" s="207"/>
      <c r="Y21" s="207"/>
      <c r="Z21" s="207"/>
      <c r="AA21" s="207"/>
      <c r="AB21" s="207"/>
      <c r="AC21" s="226"/>
      <c r="AD21" s="227"/>
      <c r="AE21" s="303"/>
      <c r="AF21" s="226"/>
      <c r="AG21" s="226"/>
      <c r="AH21" s="207"/>
      <c r="AI21" s="227"/>
      <c r="AJ21" s="228"/>
      <c r="AK21" s="228"/>
      <c r="AL21" s="227"/>
      <c r="AM21" s="227"/>
      <c r="AN21" s="227"/>
      <c r="AO21" s="229"/>
      <c r="AP21" s="228"/>
      <c r="AQ21" s="227"/>
      <c r="AR21" s="229"/>
      <c r="AS21" s="228"/>
      <c r="AT21" s="228"/>
      <c r="AU21" s="228"/>
      <c r="AV21" s="227"/>
      <c r="AW21" s="229"/>
      <c r="AX21" s="227"/>
      <c r="AY21" s="229"/>
      <c r="AZ21" s="229"/>
      <c r="BA21" s="229"/>
      <c r="BB21" s="231"/>
      <c r="BC21" s="231"/>
      <c r="BD21" s="231"/>
      <c r="BE21" s="231"/>
      <c r="BF21" s="231"/>
      <c r="BG21" s="231"/>
      <c r="BH21" s="231"/>
      <c r="BI21" s="232"/>
      <c r="BJ21" s="252"/>
      <c r="BK21" s="233"/>
      <c r="BL21" s="253"/>
      <c r="BM21" s="233"/>
      <c r="BN21" s="252"/>
      <c r="BO21" s="253"/>
      <c r="BP21" s="233"/>
      <c r="BQ21" s="226"/>
      <c r="BR21" s="233"/>
      <c r="BS21" s="302"/>
      <c r="BT21" s="302"/>
      <c r="BU21" s="302"/>
      <c r="BV21" s="302"/>
      <c r="BW21" s="253"/>
      <c r="BX21" s="253"/>
      <c r="BY21" s="253"/>
      <c r="BZ21" s="253"/>
      <c r="CA21" s="254"/>
      <c r="CB21" s="255"/>
    </row>
    <row r="22" spans="1:80" ht="15.75" thickBot="1" x14ac:dyDescent="0.3">
      <c r="A22" s="219">
        <v>20</v>
      </c>
      <c r="B22" s="224" t="s">
        <v>462</v>
      </c>
      <c r="C22" s="224"/>
      <c r="D22" s="224">
        <v>35</v>
      </c>
      <c r="E22" s="224"/>
      <c r="F22" s="224"/>
      <c r="G22" s="224"/>
      <c r="H22" s="224"/>
      <c r="I22" s="300"/>
      <c r="J22" s="300"/>
      <c r="K22" s="222"/>
      <c r="L22" s="199"/>
      <c r="M22" s="301"/>
      <c r="N22" s="224"/>
      <c r="O22" s="225"/>
      <c r="P22" s="225"/>
      <c r="Q22" s="225"/>
      <c r="R22" s="225"/>
      <c r="S22" s="225"/>
      <c r="T22" s="203"/>
      <c r="U22" s="207"/>
      <c r="V22" s="225"/>
      <c r="W22" s="207"/>
      <c r="X22" s="207"/>
      <c r="Y22" s="207"/>
      <c r="Z22" s="207"/>
      <c r="AA22" s="207"/>
      <c r="AB22" s="207"/>
      <c r="AC22" s="226"/>
      <c r="AD22" s="227"/>
      <c r="AE22" s="303"/>
      <c r="AF22" s="226"/>
      <c r="AG22" s="226"/>
      <c r="AH22" s="207"/>
      <c r="AI22" s="227"/>
      <c r="AJ22" s="228"/>
      <c r="AK22" s="228"/>
      <c r="AL22" s="227"/>
      <c r="AM22" s="227"/>
      <c r="AN22" s="227"/>
      <c r="AO22" s="229"/>
      <c r="AP22" s="228"/>
      <c r="AQ22" s="227"/>
      <c r="AR22" s="229"/>
      <c r="AS22" s="228"/>
      <c r="AT22" s="228"/>
      <c r="AU22" s="228"/>
      <c r="AV22" s="227"/>
      <c r="AW22" s="229"/>
      <c r="AX22" s="227"/>
      <c r="AY22" s="229"/>
      <c r="AZ22" s="229"/>
      <c r="BA22" s="229"/>
      <c r="BB22" s="231"/>
      <c r="BC22" s="231"/>
      <c r="BD22" s="231"/>
      <c r="BE22" s="231"/>
      <c r="BF22" s="231"/>
      <c r="BG22" s="231"/>
      <c r="BH22" s="231"/>
      <c r="BI22" s="232"/>
      <c r="BJ22" s="252"/>
      <c r="BK22" s="233"/>
      <c r="BL22" s="253"/>
      <c r="BM22" s="233"/>
      <c r="BN22" s="252"/>
      <c r="BO22" s="253"/>
      <c r="BP22" s="233"/>
      <c r="BQ22" s="226"/>
      <c r="BR22" s="233"/>
      <c r="BS22" s="302"/>
      <c r="BT22" s="302"/>
      <c r="BU22" s="302"/>
      <c r="BV22" s="302"/>
      <c r="BW22" s="253"/>
      <c r="BX22" s="253"/>
      <c r="BY22" s="253"/>
      <c r="BZ22" s="253"/>
      <c r="CA22" s="254"/>
      <c r="CB22" s="255"/>
    </row>
    <row r="23" spans="1:80" ht="15.75" thickBot="1" x14ac:dyDescent="0.3">
      <c r="A23" s="219">
        <v>21</v>
      </c>
      <c r="B23" s="224" t="s">
        <v>463</v>
      </c>
      <c r="C23" s="224" t="s">
        <v>464</v>
      </c>
      <c r="D23" s="224">
        <v>35</v>
      </c>
      <c r="E23" s="224"/>
      <c r="F23" s="224"/>
      <c r="G23" s="224"/>
      <c r="H23" s="224"/>
      <c r="I23" s="300"/>
      <c r="J23" s="300"/>
      <c r="K23" s="222"/>
      <c r="L23" s="199"/>
      <c r="M23" s="301"/>
      <c r="N23" s="224"/>
      <c r="O23" s="225"/>
      <c r="P23" s="225"/>
      <c r="Q23" s="225"/>
      <c r="R23" s="225"/>
      <c r="S23" s="225"/>
      <c r="T23" s="203"/>
      <c r="U23" s="207"/>
      <c r="V23" s="225"/>
      <c r="W23" s="207"/>
      <c r="X23" s="207"/>
      <c r="Y23" s="207"/>
      <c r="Z23" s="207"/>
      <c r="AA23" s="207"/>
      <c r="AB23" s="207"/>
      <c r="AC23" s="226"/>
      <c r="AD23" s="227"/>
      <c r="AE23" s="303"/>
      <c r="AF23" s="226"/>
      <c r="AG23" s="226"/>
      <c r="AH23" s="207"/>
      <c r="AI23" s="227"/>
      <c r="AJ23" s="228"/>
      <c r="AK23" s="228"/>
      <c r="AL23" s="227"/>
      <c r="AM23" s="227"/>
      <c r="AN23" s="227"/>
      <c r="AO23" s="229"/>
      <c r="AP23" s="228"/>
      <c r="AQ23" s="227"/>
      <c r="AR23" s="229"/>
      <c r="AS23" s="228"/>
      <c r="AT23" s="228"/>
      <c r="AU23" s="228"/>
      <c r="AV23" s="227"/>
      <c r="AW23" s="229"/>
      <c r="AX23" s="227"/>
      <c r="AY23" s="229"/>
      <c r="AZ23" s="229"/>
      <c r="BA23" s="229"/>
      <c r="BB23" s="231"/>
      <c r="BC23" s="231"/>
      <c r="BD23" s="231"/>
      <c r="BE23" s="231"/>
      <c r="BF23" s="231"/>
      <c r="BG23" s="231"/>
      <c r="BH23" s="231"/>
      <c r="BI23" s="232"/>
      <c r="BJ23" s="233"/>
      <c r="BK23" s="233"/>
      <c r="BL23" s="253"/>
      <c r="BM23" s="233"/>
      <c r="BN23" s="233"/>
      <c r="BO23" s="253"/>
      <c r="BP23" s="233"/>
      <c r="BQ23" s="226"/>
      <c r="BR23" s="233"/>
      <c r="BS23" s="302"/>
      <c r="BT23" s="302"/>
      <c r="BU23" s="302"/>
      <c r="BV23" s="302"/>
      <c r="BW23" s="253"/>
      <c r="BX23" s="253"/>
      <c r="BY23" s="253"/>
      <c r="BZ23" s="253"/>
      <c r="CA23" s="254"/>
      <c r="CB23" s="255"/>
    </row>
    <row r="24" spans="1:80" s="307" customFormat="1" ht="15.75" thickBot="1" x14ac:dyDescent="0.3">
      <c r="A24" s="237">
        <v>22</v>
      </c>
      <c r="B24" s="238" t="s">
        <v>466</v>
      </c>
      <c r="C24" s="238" t="s">
        <v>467</v>
      </c>
      <c r="D24" s="238">
        <v>45</v>
      </c>
      <c r="E24" s="238"/>
      <c r="F24" s="238"/>
      <c r="G24" s="238"/>
      <c r="H24" s="238"/>
      <c r="I24" s="304"/>
      <c r="J24" s="304"/>
      <c r="K24" s="239"/>
      <c r="L24" s="250"/>
      <c r="M24" s="305"/>
      <c r="N24" s="238"/>
      <c r="O24" s="241"/>
      <c r="P24" s="241"/>
      <c r="Q24" s="241"/>
      <c r="R24" s="241"/>
      <c r="S24" s="241"/>
      <c r="T24" s="203"/>
      <c r="U24" s="241"/>
      <c r="V24" s="241"/>
      <c r="W24" s="241"/>
      <c r="X24" s="241"/>
      <c r="Y24" s="241"/>
      <c r="Z24" s="241"/>
      <c r="AA24" s="241"/>
      <c r="AB24" s="241"/>
      <c r="AC24" s="242"/>
      <c r="AD24" s="243"/>
      <c r="AE24" s="241"/>
      <c r="AF24" s="241"/>
      <c r="AG24" s="241"/>
      <c r="AH24" s="241"/>
      <c r="AI24" s="243"/>
      <c r="AJ24" s="243"/>
      <c r="AK24" s="243"/>
      <c r="AL24" s="243"/>
      <c r="AM24" s="243"/>
      <c r="AN24" s="243"/>
      <c r="AO24" s="243"/>
      <c r="AP24" s="243"/>
      <c r="AQ24" s="243"/>
      <c r="AR24" s="243"/>
      <c r="AS24" s="243"/>
      <c r="AT24" s="243"/>
      <c r="AU24" s="243"/>
      <c r="AV24" s="243"/>
      <c r="AW24" s="243"/>
      <c r="AX24" s="243"/>
      <c r="AY24" s="243"/>
      <c r="AZ24" s="243"/>
      <c r="BA24" s="243"/>
      <c r="BB24" s="244"/>
      <c r="BC24" s="244"/>
      <c r="BD24" s="244"/>
      <c r="BE24" s="244"/>
      <c r="BF24" s="244"/>
      <c r="BG24" s="244"/>
      <c r="BH24" s="244"/>
      <c r="BI24" s="243"/>
      <c r="BJ24" s="245"/>
      <c r="BK24" s="245"/>
      <c r="BL24" s="245"/>
      <c r="BM24" s="245"/>
      <c r="BN24" s="245"/>
      <c r="BO24" s="245"/>
      <c r="BP24" s="245"/>
      <c r="BQ24" s="242"/>
      <c r="BR24" s="245"/>
      <c r="BS24" s="306"/>
      <c r="BT24" s="306"/>
      <c r="BU24" s="306"/>
      <c r="BV24" s="306"/>
      <c r="BW24" s="245"/>
      <c r="BX24" s="245"/>
      <c r="BY24" s="245"/>
      <c r="BZ24" s="245"/>
      <c r="CA24" s="247"/>
      <c r="CB24" s="248"/>
    </row>
    <row r="25" spans="1:80" s="307" customFormat="1" ht="15.75" thickBot="1" x14ac:dyDescent="0.3">
      <c r="A25" s="237">
        <v>23</v>
      </c>
      <c r="B25" s="238" t="s">
        <v>469</v>
      </c>
      <c r="C25" s="238" t="s">
        <v>470</v>
      </c>
      <c r="D25" s="238">
        <v>45</v>
      </c>
      <c r="E25" s="238"/>
      <c r="F25" s="238"/>
      <c r="G25" s="238"/>
      <c r="H25" s="238"/>
      <c r="I25" s="304"/>
      <c r="J25" s="304"/>
      <c r="K25" s="239"/>
      <c r="L25" s="250"/>
      <c r="M25" s="305"/>
      <c r="N25" s="238"/>
      <c r="O25" s="241"/>
      <c r="P25" s="241"/>
      <c r="Q25" s="241"/>
      <c r="R25" s="241"/>
      <c r="S25" s="241"/>
      <c r="T25" s="203"/>
      <c r="U25" s="241"/>
      <c r="V25" s="241"/>
      <c r="W25" s="241"/>
      <c r="X25" s="241"/>
      <c r="Y25" s="241"/>
      <c r="Z25" s="241"/>
      <c r="AA25" s="241"/>
      <c r="AB25" s="241"/>
      <c r="AC25" s="242"/>
      <c r="AD25" s="243"/>
      <c r="AE25" s="241"/>
      <c r="AF25" s="241"/>
      <c r="AG25" s="241"/>
      <c r="AH25" s="241"/>
      <c r="AI25" s="243"/>
      <c r="AJ25" s="243"/>
      <c r="AK25" s="243"/>
      <c r="AL25" s="243"/>
      <c r="AM25" s="243"/>
      <c r="AN25" s="243"/>
      <c r="AO25" s="243"/>
      <c r="AP25" s="243"/>
      <c r="AQ25" s="243"/>
      <c r="AR25" s="243"/>
      <c r="AS25" s="243"/>
      <c r="AT25" s="243"/>
      <c r="AU25" s="243"/>
      <c r="AV25" s="243"/>
      <c r="AW25" s="243"/>
      <c r="AX25" s="243"/>
      <c r="AY25" s="243"/>
      <c r="AZ25" s="243"/>
      <c r="BA25" s="243"/>
      <c r="BB25" s="244"/>
      <c r="BC25" s="244"/>
      <c r="BD25" s="244"/>
      <c r="BE25" s="244"/>
      <c r="BF25" s="244"/>
      <c r="BG25" s="244"/>
      <c r="BH25" s="244"/>
      <c r="BI25" s="243"/>
      <c r="BJ25" s="245"/>
      <c r="BK25" s="245"/>
      <c r="BL25" s="245"/>
      <c r="BM25" s="245"/>
      <c r="BN25" s="245"/>
      <c r="BO25" s="245"/>
      <c r="BP25" s="245"/>
      <c r="BQ25" s="242"/>
      <c r="BR25" s="245"/>
      <c r="BS25" s="306"/>
      <c r="BT25" s="306"/>
      <c r="BU25" s="306"/>
      <c r="BV25" s="306"/>
      <c r="BW25" s="245"/>
      <c r="BX25" s="245"/>
      <c r="BY25" s="245"/>
      <c r="BZ25" s="245"/>
      <c r="CA25" s="247"/>
      <c r="CB25" s="248"/>
    </row>
    <row r="26" spans="1:80" s="307" customFormat="1" ht="15.75" thickBot="1" x14ac:dyDescent="0.3">
      <c r="A26" s="237">
        <v>24</v>
      </c>
      <c r="B26" s="238" t="s">
        <v>472</v>
      </c>
      <c r="C26" s="238" t="s">
        <v>473</v>
      </c>
      <c r="D26" s="238">
        <v>45</v>
      </c>
      <c r="E26" s="238"/>
      <c r="F26" s="238"/>
      <c r="G26" s="238"/>
      <c r="H26" s="238"/>
      <c r="I26" s="304"/>
      <c r="J26" s="304"/>
      <c r="K26" s="239"/>
      <c r="L26" s="250"/>
      <c r="M26" s="305"/>
      <c r="N26" s="238"/>
      <c r="O26" s="241"/>
      <c r="P26" s="241"/>
      <c r="Q26" s="241"/>
      <c r="R26" s="241"/>
      <c r="S26" s="241"/>
      <c r="T26" s="203"/>
      <c r="U26" s="241"/>
      <c r="V26" s="241"/>
      <c r="W26" s="241"/>
      <c r="X26" s="241"/>
      <c r="Y26" s="241"/>
      <c r="Z26" s="241"/>
      <c r="AA26" s="241"/>
      <c r="AB26" s="241"/>
      <c r="AC26" s="242"/>
      <c r="AD26" s="243"/>
      <c r="AE26" s="242"/>
      <c r="AF26" s="242"/>
      <c r="AG26" s="242"/>
      <c r="AH26" s="241"/>
      <c r="AI26" s="243"/>
      <c r="AJ26" s="243"/>
      <c r="AK26" s="243"/>
      <c r="AL26" s="243"/>
      <c r="AM26" s="243"/>
      <c r="AN26" s="243"/>
      <c r="AO26" s="243"/>
      <c r="AP26" s="243"/>
      <c r="AQ26" s="243"/>
      <c r="AR26" s="243"/>
      <c r="AS26" s="243"/>
      <c r="AT26" s="243"/>
      <c r="AU26" s="243"/>
      <c r="AV26" s="243"/>
      <c r="AW26" s="243"/>
      <c r="AX26" s="243"/>
      <c r="AY26" s="243"/>
      <c r="AZ26" s="243"/>
      <c r="BA26" s="243"/>
      <c r="BB26" s="244"/>
      <c r="BC26" s="244"/>
      <c r="BD26" s="244"/>
      <c r="BE26" s="244"/>
      <c r="BF26" s="244"/>
      <c r="BG26" s="244"/>
      <c r="BH26" s="244"/>
      <c r="BI26" s="243"/>
      <c r="BJ26" s="245"/>
      <c r="BK26" s="245"/>
      <c r="BL26" s="245"/>
      <c r="BM26" s="245"/>
      <c r="BN26" s="245"/>
      <c r="BO26" s="245"/>
      <c r="BP26" s="245"/>
      <c r="BQ26" s="242"/>
      <c r="BR26" s="245"/>
      <c r="BS26" s="245"/>
      <c r="BT26" s="306"/>
      <c r="BU26" s="306"/>
      <c r="BV26" s="306"/>
      <c r="BW26" s="245"/>
      <c r="BX26" s="245"/>
      <c r="BY26" s="245"/>
      <c r="BZ26" s="245"/>
      <c r="CA26" s="247"/>
      <c r="CB26" s="248"/>
    </row>
    <row r="27" spans="1:80" s="307" customFormat="1" ht="15.75" thickBot="1" x14ac:dyDescent="0.3">
      <c r="A27" s="237">
        <v>25</v>
      </c>
      <c r="B27" s="238" t="s">
        <v>475</v>
      </c>
      <c r="C27" s="238"/>
      <c r="D27" s="238">
        <v>45</v>
      </c>
      <c r="E27" s="238"/>
      <c r="F27" s="238"/>
      <c r="G27" s="238"/>
      <c r="H27" s="238"/>
      <c r="I27" s="304"/>
      <c r="J27" s="304"/>
      <c r="K27" s="239"/>
      <c r="L27" s="250"/>
      <c r="M27" s="305"/>
      <c r="N27" s="238"/>
      <c r="O27" s="241"/>
      <c r="P27" s="241"/>
      <c r="Q27" s="241"/>
      <c r="R27" s="241"/>
      <c r="S27" s="241"/>
      <c r="T27" s="203"/>
      <c r="U27" s="241"/>
      <c r="V27" s="241"/>
      <c r="W27" s="241"/>
      <c r="X27" s="241"/>
      <c r="Y27" s="241"/>
      <c r="Z27" s="241"/>
      <c r="AA27" s="241"/>
      <c r="AB27" s="241"/>
      <c r="AC27" s="242"/>
      <c r="AD27" s="243"/>
      <c r="AE27" s="242"/>
      <c r="AF27" s="242"/>
      <c r="AG27" s="242"/>
      <c r="AH27" s="241"/>
      <c r="AI27" s="243"/>
      <c r="AJ27" s="243"/>
      <c r="AK27" s="243"/>
      <c r="AL27" s="243"/>
      <c r="AM27" s="243"/>
      <c r="AN27" s="243"/>
      <c r="AO27" s="243"/>
      <c r="AP27" s="243"/>
      <c r="AQ27" s="243"/>
      <c r="AR27" s="243"/>
      <c r="AS27" s="243"/>
      <c r="AT27" s="243"/>
      <c r="AU27" s="243"/>
      <c r="AV27" s="243"/>
      <c r="AW27" s="243"/>
      <c r="AX27" s="243"/>
      <c r="AY27" s="243"/>
      <c r="AZ27" s="243"/>
      <c r="BA27" s="243"/>
      <c r="BB27" s="244"/>
      <c r="BC27" s="244"/>
      <c r="BD27" s="244"/>
      <c r="BE27" s="244"/>
      <c r="BF27" s="244"/>
      <c r="BG27" s="244"/>
      <c r="BH27" s="244"/>
      <c r="BI27" s="243"/>
      <c r="BJ27" s="245"/>
      <c r="BK27" s="245"/>
      <c r="BL27" s="245"/>
      <c r="BM27" s="245"/>
      <c r="BN27" s="245"/>
      <c r="BO27" s="245"/>
      <c r="BP27" s="245"/>
      <c r="BQ27" s="242"/>
      <c r="BR27" s="245"/>
      <c r="BS27" s="245"/>
      <c r="BT27" s="306"/>
      <c r="BU27" s="306"/>
      <c r="BV27" s="306"/>
      <c r="BW27" s="245"/>
      <c r="BX27" s="245"/>
      <c r="BY27" s="245"/>
      <c r="BZ27" s="245"/>
      <c r="CA27" s="247"/>
      <c r="CB27" s="248"/>
    </row>
    <row r="28" spans="1:80" s="307" customFormat="1" ht="15.75" thickBot="1" x14ac:dyDescent="0.3">
      <c r="A28" s="237">
        <v>26</v>
      </c>
      <c r="B28" s="308" t="s">
        <v>476</v>
      </c>
      <c r="C28" s="309" t="s">
        <v>477</v>
      </c>
      <c r="D28" s="309">
        <v>45</v>
      </c>
      <c r="E28" s="309"/>
      <c r="F28" s="309"/>
      <c r="G28" s="309"/>
      <c r="H28" s="309"/>
      <c r="I28" s="310"/>
      <c r="J28" s="310"/>
      <c r="K28" s="311"/>
      <c r="L28" s="250"/>
      <c r="M28" s="312"/>
      <c r="N28" s="238"/>
      <c r="O28" s="313"/>
      <c r="P28" s="313"/>
      <c r="Q28" s="313"/>
      <c r="R28" s="313"/>
      <c r="S28" s="241"/>
      <c r="T28" s="203"/>
      <c r="U28" s="241"/>
      <c r="V28" s="241"/>
      <c r="W28" s="313"/>
      <c r="X28" s="313"/>
      <c r="Y28" s="313"/>
      <c r="Z28" s="313"/>
      <c r="AA28" s="313"/>
      <c r="AB28" s="313"/>
      <c r="AC28" s="314"/>
      <c r="AD28" s="243"/>
      <c r="AE28" s="242"/>
      <c r="AF28" s="314"/>
      <c r="AG28" s="314"/>
      <c r="AH28" s="241"/>
      <c r="AI28" s="243"/>
      <c r="AJ28" s="243"/>
      <c r="AK28" s="315"/>
      <c r="AL28" s="315"/>
      <c r="AM28" s="243"/>
      <c r="AN28" s="243"/>
      <c r="AO28" s="243"/>
      <c r="AP28" s="243"/>
      <c r="AQ28" s="243"/>
      <c r="AR28" s="243"/>
      <c r="AS28" s="243"/>
      <c r="AT28" s="243"/>
      <c r="AU28" s="243"/>
      <c r="AV28" s="243"/>
      <c r="AW28" s="243"/>
      <c r="AX28" s="243"/>
      <c r="AY28" s="243"/>
      <c r="AZ28" s="243"/>
      <c r="BA28" s="243"/>
      <c r="BB28" s="244"/>
      <c r="BC28" s="244"/>
      <c r="BD28" s="244"/>
      <c r="BE28" s="244"/>
      <c r="BF28" s="244"/>
      <c r="BG28" s="244"/>
      <c r="BH28" s="244"/>
      <c r="BI28" s="315"/>
      <c r="BJ28" s="316"/>
      <c r="BK28" s="316"/>
      <c r="BL28" s="317"/>
      <c r="BM28" s="316"/>
      <c r="BN28" s="317"/>
      <c r="BO28" s="317"/>
      <c r="BP28" s="317"/>
      <c r="BQ28" s="318"/>
      <c r="BR28" s="317"/>
      <c r="BS28" s="317"/>
      <c r="BT28" s="306"/>
      <c r="BU28" s="306"/>
      <c r="BV28" s="306"/>
      <c r="BW28" s="317"/>
      <c r="BX28" s="317"/>
      <c r="BY28" s="317"/>
      <c r="BZ28" s="317"/>
      <c r="CA28" s="319"/>
      <c r="CB28" s="320"/>
    </row>
    <row r="29" spans="1:80" s="307" customFormat="1" ht="15.75" hidden="1" thickBot="1" x14ac:dyDescent="0.3">
      <c r="A29" s="237">
        <v>27</v>
      </c>
      <c r="B29" s="308" t="s">
        <v>479</v>
      </c>
      <c r="C29" s="309" t="s">
        <v>480</v>
      </c>
      <c r="D29" s="309" t="s">
        <v>137</v>
      </c>
      <c r="E29" s="309" t="s">
        <v>481</v>
      </c>
      <c r="F29" s="309" t="s">
        <v>482</v>
      </c>
      <c r="G29" s="309" t="s">
        <v>483</v>
      </c>
      <c r="H29" s="309"/>
      <c r="I29" s="310" t="s">
        <v>484</v>
      </c>
      <c r="J29" s="310">
        <v>11126212007</v>
      </c>
      <c r="K29" s="311" t="s">
        <v>485</v>
      </c>
      <c r="L29" s="250" t="s">
        <v>452</v>
      </c>
      <c r="M29" s="312" t="s">
        <v>486</v>
      </c>
      <c r="N29" s="308" t="s">
        <v>454</v>
      </c>
      <c r="O29" s="313"/>
      <c r="P29" s="313"/>
      <c r="Q29" s="313">
        <v>1.2</v>
      </c>
      <c r="R29" s="313">
        <v>14</v>
      </c>
      <c r="S29" s="313"/>
      <c r="T29" s="203"/>
      <c r="U29" s="241">
        <v>4</v>
      </c>
      <c r="V29" s="321" t="s">
        <v>487</v>
      </c>
      <c r="W29" s="313">
        <v>0.15</v>
      </c>
      <c r="X29" s="313"/>
      <c r="Y29" s="313">
        <v>16</v>
      </c>
      <c r="Z29" s="313" t="s">
        <v>139</v>
      </c>
      <c r="AA29" s="313">
        <v>52</v>
      </c>
      <c r="AB29" s="313"/>
      <c r="AC29" s="314"/>
      <c r="AD29" s="243">
        <v>1.5</v>
      </c>
      <c r="AE29" s="242">
        <v>433.92</v>
      </c>
      <c r="AF29" s="314" t="s">
        <v>383</v>
      </c>
      <c r="AG29" s="314" t="s">
        <v>384</v>
      </c>
      <c r="AH29" s="241">
        <v>40</v>
      </c>
      <c r="AI29" s="243" t="s">
        <v>394</v>
      </c>
      <c r="AJ29" s="322" t="s">
        <v>385</v>
      </c>
      <c r="AK29" s="315" t="s">
        <v>386</v>
      </c>
      <c r="AL29" s="315" t="s">
        <v>387</v>
      </c>
      <c r="AM29" s="315" t="s">
        <v>488</v>
      </c>
      <c r="AN29" s="243">
        <v>320</v>
      </c>
      <c r="AO29" s="243"/>
      <c r="AP29" s="243"/>
      <c r="AQ29" s="243"/>
      <c r="AR29" s="243"/>
      <c r="AS29" s="243"/>
      <c r="AT29" s="243"/>
      <c r="AU29" s="243"/>
      <c r="AV29" s="243">
        <v>3000</v>
      </c>
      <c r="AW29" s="243"/>
      <c r="AX29" s="243">
        <v>160</v>
      </c>
      <c r="AY29" s="243"/>
      <c r="AZ29" s="243"/>
      <c r="BA29" s="243"/>
      <c r="BB29" s="244">
        <v>400</v>
      </c>
      <c r="BC29" s="244">
        <v>123</v>
      </c>
      <c r="BD29" s="244">
        <v>80</v>
      </c>
      <c r="BE29" s="244">
        <v>10</v>
      </c>
      <c r="BF29" s="244">
        <v>645</v>
      </c>
      <c r="BG29" s="244">
        <v>420</v>
      </c>
      <c r="BH29" s="244">
        <v>185</v>
      </c>
      <c r="BI29" s="315"/>
      <c r="BJ29" s="316"/>
      <c r="BK29" s="316"/>
      <c r="BL29" s="317"/>
      <c r="BM29" s="316"/>
      <c r="BN29" s="317"/>
      <c r="BO29" s="317"/>
      <c r="BP29" s="317"/>
      <c r="BQ29" s="318"/>
      <c r="BR29" s="317"/>
      <c r="BS29" s="317"/>
      <c r="BT29" s="323"/>
      <c r="BU29" s="323"/>
      <c r="BV29" s="323"/>
      <c r="BW29" s="317"/>
      <c r="BX29" s="317"/>
      <c r="BY29" s="317"/>
      <c r="BZ29" s="317"/>
      <c r="CA29" s="319"/>
      <c r="CB29" s="320"/>
    </row>
    <row r="30" spans="1:80" s="307" customFormat="1" ht="15.75" hidden="1" thickBot="1" x14ac:dyDescent="0.3">
      <c r="A30" s="237">
        <v>28</v>
      </c>
      <c r="B30" s="308" t="s">
        <v>489</v>
      </c>
      <c r="C30" s="309"/>
      <c r="D30" s="309" t="s">
        <v>137</v>
      </c>
      <c r="E30" s="309" t="s">
        <v>481</v>
      </c>
      <c r="F30" s="309" t="s">
        <v>482</v>
      </c>
      <c r="G30" s="309"/>
      <c r="H30" s="309"/>
      <c r="I30" s="310" t="s">
        <v>484</v>
      </c>
      <c r="J30" s="310"/>
      <c r="K30" s="311" t="s">
        <v>485</v>
      </c>
      <c r="L30" s="250" t="s">
        <v>452</v>
      </c>
      <c r="M30" s="312" t="s">
        <v>486</v>
      </c>
      <c r="N30" s="308" t="s">
        <v>454</v>
      </c>
      <c r="O30" s="313"/>
      <c r="P30" s="313"/>
      <c r="Q30" s="313">
        <v>1.2</v>
      </c>
      <c r="R30" s="313">
        <v>14</v>
      </c>
      <c r="S30" s="313"/>
      <c r="T30" s="203"/>
      <c r="U30" s="241">
        <v>4</v>
      </c>
      <c r="V30" s="321" t="s">
        <v>487</v>
      </c>
      <c r="W30" s="313">
        <v>0.15</v>
      </c>
      <c r="X30" s="313"/>
      <c r="Y30" s="313">
        <v>16</v>
      </c>
      <c r="Z30" s="313" t="s">
        <v>139</v>
      </c>
      <c r="AA30" s="313">
        <v>52</v>
      </c>
      <c r="AB30" s="313"/>
      <c r="AC30" s="314"/>
      <c r="AD30" s="243">
        <v>1.5</v>
      </c>
      <c r="AE30" s="242">
        <v>433.92</v>
      </c>
      <c r="AF30" s="314" t="s">
        <v>383</v>
      </c>
      <c r="AG30" s="314" t="s">
        <v>384</v>
      </c>
      <c r="AH30" s="241">
        <v>40</v>
      </c>
      <c r="AI30" s="243" t="s">
        <v>394</v>
      </c>
      <c r="AJ30" s="322" t="s">
        <v>385</v>
      </c>
      <c r="AK30" s="315" t="s">
        <v>386</v>
      </c>
      <c r="AL30" s="315" t="s">
        <v>387</v>
      </c>
      <c r="AM30" s="315" t="s">
        <v>488</v>
      </c>
      <c r="AN30" s="243">
        <v>320</v>
      </c>
      <c r="AO30" s="243"/>
      <c r="AP30" s="243"/>
      <c r="AQ30" s="243"/>
      <c r="AR30" s="243"/>
      <c r="AS30" s="243"/>
      <c r="AT30" s="243"/>
      <c r="AU30" s="243"/>
      <c r="AV30" s="243">
        <v>6096</v>
      </c>
      <c r="AW30" s="243"/>
      <c r="AX30" s="243">
        <v>160</v>
      </c>
      <c r="AY30" s="243"/>
      <c r="AZ30" s="243"/>
      <c r="BA30" s="243"/>
      <c r="BB30" s="244">
        <v>400</v>
      </c>
      <c r="BC30" s="244">
        <v>123</v>
      </c>
      <c r="BD30" s="244">
        <v>80</v>
      </c>
      <c r="BE30" s="244">
        <v>10</v>
      </c>
      <c r="BF30" s="244">
        <v>645</v>
      </c>
      <c r="BG30" s="244">
        <v>420</v>
      </c>
      <c r="BH30" s="244">
        <v>185</v>
      </c>
      <c r="BI30" s="315"/>
      <c r="BJ30" s="316"/>
      <c r="BK30" s="316"/>
      <c r="BL30" s="317"/>
      <c r="BM30" s="316"/>
      <c r="BN30" s="317"/>
      <c r="BO30" s="317"/>
      <c r="BP30" s="317"/>
      <c r="BQ30" s="318"/>
      <c r="BR30" s="317"/>
      <c r="BS30" s="317"/>
      <c r="BT30" s="323"/>
      <c r="BU30" s="323"/>
      <c r="BV30" s="323"/>
      <c r="BW30" s="317"/>
      <c r="BX30" s="317"/>
      <c r="BY30" s="317"/>
      <c r="BZ30" s="317"/>
      <c r="CA30" s="319"/>
      <c r="CB30" s="320"/>
    </row>
    <row r="31" spans="1:80" s="307" customFormat="1" ht="15.75" thickBot="1" x14ac:dyDescent="0.3">
      <c r="A31" s="237">
        <v>29</v>
      </c>
      <c r="B31" s="238" t="s">
        <v>490</v>
      </c>
      <c r="C31" s="238"/>
      <c r="D31" s="238">
        <v>45</v>
      </c>
      <c r="E31" s="238"/>
      <c r="F31" s="238"/>
      <c r="G31" s="238"/>
      <c r="H31" s="238"/>
      <c r="I31" s="304"/>
      <c r="J31" s="304"/>
      <c r="K31" s="239"/>
      <c r="L31" s="250"/>
      <c r="M31" s="305"/>
      <c r="N31" s="238"/>
      <c r="O31" s="241"/>
      <c r="P31" s="241"/>
      <c r="Q31" s="241"/>
      <c r="R31" s="241"/>
      <c r="S31" s="241"/>
      <c r="T31" s="203"/>
      <c r="U31" s="241"/>
      <c r="V31" s="241"/>
      <c r="W31" s="241"/>
      <c r="X31" s="241"/>
      <c r="Y31" s="241"/>
      <c r="Z31" s="241"/>
      <c r="AA31" s="241"/>
      <c r="AB31" s="241"/>
      <c r="AC31" s="242"/>
      <c r="AD31" s="243"/>
      <c r="AE31" s="242"/>
      <c r="AF31" s="242"/>
      <c r="AG31" s="242"/>
      <c r="AH31" s="241"/>
      <c r="AI31" s="243"/>
      <c r="AJ31" s="243"/>
      <c r="AK31" s="243"/>
      <c r="AL31" s="243"/>
      <c r="AM31" s="243"/>
      <c r="AN31" s="243"/>
      <c r="AO31" s="243"/>
      <c r="AP31" s="243"/>
      <c r="AQ31" s="243"/>
      <c r="AR31" s="243"/>
      <c r="AS31" s="243"/>
      <c r="AT31" s="243"/>
      <c r="AU31" s="243"/>
      <c r="AV31" s="243"/>
      <c r="AW31" s="243"/>
      <c r="AX31" s="243"/>
      <c r="AY31" s="243"/>
      <c r="AZ31" s="243"/>
      <c r="BA31" s="243"/>
      <c r="BB31" s="244"/>
      <c r="BC31" s="244"/>
      <c r="BD31" s="244"/>
      <c r="BE31" s="244"/>
      <c r="BF31" s="244"/>
      <c r="BG31" s="244"/>
      <c r="BH31" s="244"/>
      <c r="BI31" s="243"/>
      <c r="BJ31" s="245"/>
      <c r="BK31" s="245"/>
      <c r="BL31" s="245"/>
      <c r="BM31" s="245"/>
      <c r="BN31" s="245"/>
      <c r="BO31" s="245"/>
      <c r="BP31" s="245"/>
      <c r="BQ31" s="242"/>
      <c r="BR31" s="245"/>
      <c r="BS31" s="245"/>
      <c r="BT31" s="306"/>
      <c r="BU31" s="306"/>
      <c r="BV31" s="306"/>
      <c r="BW31" s="245"/>
      <c r="BX31" s="245"/>
      <c r="BY31" s="245"/>
      <c r="BZ31" s="245"/>
      <c r="CA31" s="247"/>
      <c r="CB31" s="248"/>
    </row>
    <row r="32" spans="1:80" s="307" customFormat="1" ht="15.75" thickBot="1" x14ac:dyDescent="0.3">
      <c r="A32" s="237">
        <v>30</v>
      </c>
      <c r="B32" s="238" t="s">
        <v>491</v>
      </c>
      <c r="C32" s="238"/>
      <c r="D32" s="238">
        <v>45</v>
      </c>
      <c r="E32" s="238"/>
      <c r="F32" s="238"/>
      <c r="G32" s="238"/>
      <c r="H32" s="238"/>
      <c r="I32" s="304"/>
      <c r="J32" s="304"/>
      <c r="K32" s="239"/>
      <c r="L32" s="250"/>
      <c r="M32" s="305"/>
      <c r="N32" s="238"/>
      <c r="O32" s="241"/>
      <c r="P32" s="241"/>
      <c r="Q32" s="241"/>
      <c r="R32" s="241"/>
      <c r="S32" s="241"/>
      <c r="T32" s="203"/>
      <c r="U32" s="241"/>
      <c r="V32" s="241"/>
      <c r="W32" s="241"/>
      <c r="X32" s="241"/>
      <c r="Y32" s="241"/>
      <c r="Z32" s="241"/>
      <c r="AA32" s="241"/>
      <c r="AB32" s="241"/>
      <c r="AC32" s="242"/>
      <c r="AD32" s="243"/>
      <c r="AE32" s="242"/>
      <c r="AF32" s="242"/>
      <c r="AG32" s="242"/>
      <c r="AH32" s="241"/>
      <c r="AI32" s="243"/>
      <c r="AJ32" s="243"/>
      <c r="AK32" s="243"/>
      <c r="AL32" s="243"/>
      <c r="AM32" s="243"/>
      <c r="AN32" s="243"/>
      <c r="AO32" s="243"/>
      <c r="AP32" s="243"/>
      <c r="AQ32" s="243"/>
      <c r="AR32" s="243"/>
      <c r="AS32" s="243"/>
      <c r="AT32" s="243"/>
      <c r="AU32" s="243"/>
      <c r="AV32" s="243"/>
      <c r="AW32" s="243"/>
      <c r="AX32" s="243"/>
      <c r="AY32" s="243"/>
      <c r="AZ32" s="243"/>
      <c r="BA32" s="243"/>
      <c r="BB32" s="244"/>
      <c r="BC32" s="244"/>
      <c r="BD32" s="244"/>
      <c r="BE32" s="244"/>
      <c r="BF32" s="244"/>
      <c r="BG32" s="244"/>
      <c r="BH32" s="244"/>
      <c r="BI32" s="243"/>
      <c r="BJ32" s="245"/>
      <c r="BK32" s="245"/>
      <c r="BL32" s="245"/>
      <c r="BM32" s="245"/>
      <c r="BN32" s="245"/>
      <c r="BO32" s="245"/>
      <c r="BP32" s="245"/>
      <c r="BQ32" s="242"/>
      <c r="BR32" s="245"/>
      <c r="BS32" s="245"/>
      <c r="BT32" s="306"/>
      <c r="BU32" s="306"/>
      <c r="BV32" s="306"/>
      <c r="BW32" s="245"/>
      <c r="BX32" s="245"/>
      <c r="BY32" s="245"/>
      <c r="BZ32" s="245"/>
      <c r="CA32" s="247"/>
      <c r="CB32" s="248"/>
    </row>
    <row r="33" spans="1:80" s="307" customFormat="1" ht="15.75" thickBot="1" x14ac:dyDescent="0.3">
      <c r="A33" s="237">
        <v>31</v>
      </c>
      <c r="B33" s="238" t="s">
        <v>493</v>
      </c>
      <c r="C33" s="309"/>
      <c r="D33" s="309">
        <v>45</v>
      </c>
      <c r="E33" s="309"/>
      <c r="F33" s="309"/>
      <c r="G33" s="309"/>
      <c r="H33" s="309"/>
      <c r="I33" s="310"/>
      <c r="J33" s="310"/>
      <c r="K33" s="311"/>
      <c r="L33" s="250"/>
      <c r="M33" s="312"/>
      <c r="N33" s="238"/>
      <c r="O33" s="313"/>
      <c r="P33" s="313"/>
      <c r="Q33" s="313"/>
      <c r="R33" s="313"/>
      <c r="S33" s="313"/>
      <c r="T33" s="203"/>
      <c r="U33" s="241"/>
      <c r="V33" s="241"/>
      <c r="W33" s="313"/>
      <c r="X33" s="313"/>
      <c r="Y33" s="313"/>
      <c r="Z33" s="313"/>
      <c r="AA33" s="313"/>
      <c r="AB33" s="313"/>
      <c r="AC33" s="314"/>
      <c r="AD33" s="243"/>
      <c r="AE33" s="242"/>
      <c r="AF33" s="314"/>
      <c r="AG33" s="314"/>
      <c r="AH33" s="241"/>
      <c r="AI33" s="243"/>
      <c r="AJ33" s="243"/>
      <c r="AK33" s="315"/>
      <c r="AL33" s="315"/>
      <c r="AM33" s="243"/>
      <c r="AN33" s="243"/>
      <c r="AO33" s="243"/>
      <c r="AP33" s="243"/>
      <c r="AQ33" s="243"/>
      <c r="AR33" s="243"/>
      <c r="AS33" s="243"/>
      <c r="AT33" s="243"/>
      <c r="AU33" s="243"/>
      <c r="AV33" s="243"/>
      <c r="AW33" s="243"/>
      <c r="AX33" s="243"/>
      <c r="AY33" s="243"/>
      <c r="AZ33" s="243"/>
      <c r="BA33" s="243"/>
      <c r="BB33" s="244"/>
      <c r="BC33" s="244"/>
      <c r="BD33" s="244"/>
      <c r="BE33" s="244"/>
      <c r="BF33" s="244"/>
      <c r="BG33" s="244"/>
      <c r="BH33" s="244"/>
      <c r="BI33" s="315"/>
      <c r="BJ33" s="316"/>
      <c r="BK33" s="316"/>
      <c r="BL33" s="317"/>
      <c r="BM33" s="316"/>
      <c r="BN33" s="317"/>
      <c r="BO33" s="317"/>
      <c r="BP33" s="317"/>
      <c r="BQ33" s="318"/>
      <c r="BR33" s="317"/>
      <c r="BS33" s="317"/>
      <c r="BT33" s="306"/>
      <c r="BU33" s="306"/>
      <c r="BV33" s="306"/>
      <c r="BW33" s="317"/>
      <c r="BX33" s="317"/>
      <c r="BY33" s="317"/>
      <c r="BZ33" s="317"/>
      <c r="CA33" s="319"/>
      <c r="CB33" s="320"/>
    </row>
    <row r="34" spans="1:80" s="339" customFormat="1" ht="15.75" hidden="1" thickBot="1" x14ac:dyDescent="0.3">
      <c r="A34" s="324"/>
      <c r="B34" s="325"/>
      <c r="C34" s="326"/>
      <c r="D34" s="326"/>
      <c r="E34" s="326"/>
      <c r="F34" s="326"/>
      <c r="G34" s="326"/>
      <c r="H34" s="326"/>
      <c r="I34" s="327"/>
      <c r="J34" s="327"/>
      <c r="K34" s="327"/>
      <c r="L34" s="292"/>
      <c r="M34" s="328"/>
      <c r="N34" s="325"/>
      <c r="O34" s="329"/>
      <c r="P34" s="329"/>
      <c r="Q34" s="329"/>
      <c r="R34" s="329"/>
      <c r="S34" s="329"/>
      <c r="T34" s="330"/>
      <c r="U34" s="329"/>
      <c r="V34" s="331"/>
      <c r="W34" s="329"/>
      <c r="X34" s="329"/>
      <c r="Y34" s="329"/>
      <c r="Z34" s="329"/>
      <c r="AA34" s="329"/>
      <c r="AB34" s="329"/>
      <c r="AC34" s="332"/>
      <c r="AD34" s="232"/>
      <c r="AE34" s="332"/>
      <c r="AF34" s="332"/>
      <c r="AG34" s="332"/>
      <c r="AH34" s="332"/>
      <c r="AI34" s="333"/>
      <c r="AJ34" s="334"/>
      <c r="AK34" s="333"/>
      <c r="AL34" s="333"/>
      <c r="AM34" s="333"/>
      <c r="AN34" s="232"/>
      <c r="AO34" s="229"/>
      <c r="AP34" s="232"/>
      <c r="AQ34" s="232">
        <v>35</v>
      </c>
      <c r="AR34" s="229"/>
      <c r="AS34" s="232"/>
      <c r="AT34" s="232"/>
      <c r="AU34" s="232"/>
      <c r="AV34" s="232"/>
      <c r="AW34" s="229"/>
      <c r="AX34" s="232"/>
      <c r="AY34" s="229"/>
      <c r="AZ34" s="229"/>
      <c r="BA34" s="229"/>
      <c r="BB34" s="297"/>
      <c r="BC34" s="297"/>
      <c r="BD34" s="297"/>
      <c r="BE34" s="297"/>
      <c r="BF34" s="297"/>
      <c r="BG34" s="297"/>
      <c r="BH34" s="297"/>
      <c r="BI34" s="333"/>
      <c r="BJ34" s="324"/>
      <c r="BK34" s="324"/>
      <c r="BL34" s="335"/>
      <c r="BM34" s="324"/>
      <c r="BN34" s="335"/>
      <c r="BO34" s="335"/>
      <c r="BP34" s="335"/>
      <c r="BQ34" s="336"/>
      <c r="BR34" s="335"/>
      <c r="BS34" s="335"/>
      <c r="BT34" s="337"/>
      <c r="BU34" s="337"/>
      <c r="BV34" s="337"/>
      <c r="BW34" s="335"/>
      <c r="BX34" s="335"/>
      <c r="BY34" s="335"/>
      <c r="BZ34" s="335"/>
      <c r="CA34" s="338"/>
      <c r="CB34" s="338"/>
    </row>
    <row r="35" spans="1:80" s="345" customFormat="1" ht="15.75" thickBot="1" x14ac:dyDescent="0.3">
      <c r="A35" s="233">
        <f>A33+1</f>
        <v>32</v>
      </c>
      <c r="B35" s="340" t="s">
        <v>494</v>
      </c>
      <c r="C35" s="340" t="s">
        <v>495</v>
      </c>
      <c r="D35" s="340">
        <v>35</v>
      </c>
      <c r="E35" s="224"/>
      <c r="F35" s="340"/>
      <c r="G35" s="340"/>
      <c r="H35" s="340"/>
      <c r="I35" s="300"/>
      <c r="J35" s="221"/>
      <c r="K35" s="222"/>
      <c r="L35" s="222"/>
      <c r="M35" s="341"/>
      <c r="N35" s="340"/>
      <c r="O35" s="342"/>
      <c r="P35" s="342"/>
      <c r="Q35" s="342"/>
      <c r="R35" s="342"/>
      <c r="S35" s="225"/>
      <c r="T35" s="203"/>
      <c r="U35" s="343"/>
      <c r="V35" s="342"/>
      <c r="W35" s="343"/>
      <c r="X35" s="343"/>
      <c r="Y35" s="343"/>
      <c r="Z35" s="343"/>
      <c r="AA35" s="343"/>
      <c r="AB35" s="343"/>
      <c r="AC35" s="226"/>
      <c r="AD35" s="227"/>
      <c r="AE35" s="303"/>
      <c r="AF35" s="226"/>
      <c r="AG35" s="226"/>
      <c r="AH35" s="207"/>
      <c r="AI35" s="227"/>
      <c r="AJ35" s="344"/>
      <c r="AK35" s="227"/>
      <c r="AL35" s="227"/>
      <c r="AM35" s="227"/>
      <c r="AN35" s="227"/>
      <c r="AO35" s="229"/>
      <c r="AP35" s="228"/>
      <c r="AQ35" s="228"/>
      <c r="AR35" s="229"/>
      <c r="AS35" s="228"/>
      <c r="AT35" s="228"/>
      <c r="AU35" s="228"/>
      <c r="AV35" s="227"/>
      <c r="AW35" s="229"/>
      <c r="AX35" s="227"/>
      <c r="AY35" s="229"/>
      <c r="AZ35" s="229"/>
      <c r="BA35" s="229"/>
      <c r="BB35" s="231"/>
      <c r="BC35" s="231"/>
      <c r="BD35" s="231"/>
      <c r="BE35" s="231"/>
      <c r="BF35" s="231"/>
      <c r="BG35" s="231"/>
      <c r="BH35" s="231"/>
      <c r="BI35" s="232"/>
      <c r="BJ35" s="233"/>
      <c r="BK35" s="233"/>
      <c r="BL35" s="233"/>
      <c r="BM35" s="233"/>
      <c r="BN35" s="233"/>
      <c r="BO35" s="233"/>
      <c r="BP35" s="233"/>
      <c r="BQ35" s="226"/>
      <c r="BR35" s="233"/>
      <c r="BS35" s="233"/>
      <c r="BT35" s="233"/>
      <c r="BU35" s="233"/>
      <c r="BV35" s="233"/>
      <c r="BW35" s="233"/>
      <c r="BX35" s="233"/>
      <c r="BY35" s="233"/>
      <c r="BZ35" s="233"/>
      <c r="CA35" s="233"/>
      <c r="CB35" s="233"/>
    </row>
    <row r="36" spans="1:80" ht="15.75" thickBot="1" x14ac:dyDescent="0.3">
      <c r="A36" s="233">
        <f>A35+1</f>
        <v>33</v>
      </c>
      <c r="B36" s="340" t="s">
        <v>499</v>
      </c>
      <c r="C36" s="340" t="s">
        <v>495</v>
      </c>
      <c r="D36" s="340">
        <v>35</v>
      </c>
      <c r="E36" s="224"/>
      <c r="F36" s="340"/>
      <c r="G36" s="340"/>
      <c r="H36" s="340"/>
      <c r="I36" s="300"/>
      <c r="J36" s="221"/>
      <c r="K36" s="222"/>
      <c r="L36" s="222"/>
      <c r="M36" s="341"/>
      <c r="N36" s="340"/>
      <c r="O36" s="342"/>
      <c r="P36" s="342"/>
      <c r="Q36" s="342"/>
      <c r="R36" s="342"/>
      <c r="S36" s="225"/>
      <c r="T36" s="203"/>
      <c r="U36" s="343"/>
      <c r="V36" s="342"/>
      <c r="W36" s="343"/>
      <c r="X36" s="343"/>
      <c r="Y36" s="343"/>
      <c r="Z36" s="343"/>
      <c r="AA36" s="343"/>
      <c r="AB36" s="343"/>
      <c r="AC36" s="226"/>
      <c r="AD36" s="227"/>
      <c r="AE36" s="207"/>
      <c r="AF36" s="207"/>
      <c r="AG36" s="207"/>
      <c r="AH36" s="207"/>
      <c r="AI36" s="227"/>
      <c r="AJ36" s="344"/>
      <c r="AK36" s="227"/>
      <c r="AL36" s="227"/>
      <c r="AM36" s="227"/>
      <c r="AN36" s="227"/>
      <c r="AO36" s="229"/>
      <c r="AP36" s="228"/>
      <c r="AQ36" s="227"/>
      <c r="AR36" s="229"/>
      <c r="AS36" s="228"/>
      <c r="AT36" s="228"/>
      <c r="AU36" s="228"/>
      <c r="AV36" s="227"/>
      <c r="AW36" s="229"/>
      <c r="AX36" s="227"/>
      <c r="AY36" s="229"/>
      <c r="AZ36" s="229"/>
      <c r="BA36" s="229"/>
      <c r="BB36" s="231"/>
      <c r="BC36" s="231"/>
      <c r="BD36" s="231"/>
      <c r="BE36" s="231"/>
      <c r="BF36" s="231"/>
      <c r="BG36" s="231"/>
      <c r="BH36" s="231"/>
      <c r="BI36" s="232"/>
      <c r="BJ36" s="233"/>
      <c r="BK36" s="233"/>
      <c r="BL36" s="233"/>
      <c r="BM36" s="233"/>
      <c r="BN36" s="233"/>
      <c r="BO36" s="233"/>
      <c r="BP36" s="233"/>
      <c r="BQ36" s="226"/>
      <c r="BR36" s="233"/>
      <c r="BS36" s="233"/>
      <c r="BT36" s="233"/>
      <c r="BU36" s="233"/>
      <c r="BV36" s="233"/>
      <c r="BW36" s="233"/>
      <c r="BX36" s="233"/>
      <c r="BY36" s="233"/>
      <c r="BZ36" s="233"/>
      <c r="CA36" s="233"/>
      <c r="CB36" s="233"/>
    </row>
    <row r="37" spans="1:80" s="354" customFormat="1" ht="15.75" thickBot="1" x14ac:dyDescent="0.3">
      <c r="A37" s="346">
        <f>A36+1</f>
        <v>34</v>
      </c>
      <c r="B37" s="347" t="s">
        <v>501</v>
      </c>
      <c r="C37" s="340" t="s">
        <v>502</v>
      </c>
      <c r="D37" s="340">
        <v>35</v>
      </c>
      <c r="E37" s="224"/>
      <c r="F37" s="340"/>
      <c r="G37" s="340"/>
      <c r="H37" s="340"/>
      <c r="I37" s="300"/>
      <c r="J37" s="348"/>
      <c r="K37" s="222"/>
      <c r="L37" s="349"/>
      <c r="M37" s="350"/>
      <c r="N37" s="347"/>
      <c r="O37" s="351"/>
      <c r="P37" s="351"/>
      <c r="Q37" s="351"/>
      <c r="R37" s="351"/>
      <c r="S37" s="351"/>
      <c r="T37" s="203"/>
      <c r="U37" s="343"/>
      <c r="V37" s="351"/>
      <c r="W37" s="343"/>
      <c r="X37" s="343"/>
      <c r="Y37" s="343"/>
      <c r="Z37" s="343"/>
      <c r="AA37" s="343"/>
      <c r="AB37" s="343"/>
      <c r="AC37" s="352"/>
      <c r="AD37" s="227"/>
      <c r="AE37" s="303"/>
      <c r="AF37" s="352"/>
      <c r="AG37" s="352"/>
      <c r="AH37" s="207"/>
      <c r="AI37" s="227"/>
      <c r="AJ37" s="344"/>
      <c r="AK37" s="353"/>
      <c r="AL37" s="227"/>
      <c r="AM37" s="227"/>
      <c r="AN37" s="227"/>
      <c r="AO37" s="229"/>
      <c r="AP37" s="353"/>
      <c r="AQ37" s="227"/>
      <c r="AR37" s="229"/>
      <c r="AS37" s="353"/>
      <c r="AT37" s="353"/>
      <c r="AU37" s="353"/>
      <c r="AV37" s="227"/>
      <c r="AW37" s="229"/>
      <c r="AX37" s="227"/>
      <c r="AY37" s="229"/>
      <c r="AZ37" s="229"/>
      <c r="BA37" s="229"/>
      <c r="BB37" s="231"/>
      <c r="BC37" s="231"/>
      <c r="BD37" s="231"/>
      <c r="BE37" s="231"/>
      <c r="BF37" s="231"/>
      <c r="BG37" s="231"/>
      <c r="BH37" s="231"/>
      <c r="BI37" s="232"/>
      <c r="BJ37" s="346"/>
      <c r="BK37" s="346"/>
      <c r="BL37" s="346"/>
      <c r="BM37" s="346"/>
      <c r="BN37" s="346"/>
      <c r="BO37" s="346"/>
      <c r="BP37" s="346"/>
      <c r="BQ37" s="352"/>
      <c r="BR37" s="346"/>
      <c r="BS37" s="346"/>
      <c r="BT37" s="346"/>
      <c r="BU37" s="346"/>
      <c r="BV37" s="346"/>
      <c r="BW37" s="346"/>
      <c r="BX37" s="346"/>
      <c r="BY37" s="346"/>
      <c r="BZ37" s="346"/>
      <c r="CA37" s="346"/>
      <c r="CB37" s="346"/>
    </row>
    <row r="38" spans="1:80" s="354" customFormat="1" ht="15.75" thickBot="1" x14ac:dyDescent="0.3">
      <c r="A38" s="346">
        <f t="shared" ref="A38:A44" si="2">A37+1</f>
        <v>35</v>
      </c>
      <c r="B38" s="347" t="s">
        <v>505</v>
      </c>
      <c r="C38" s="340" t="s">
        <v>506</v>
      </c>
      <c r="D38" s="340">
        <v>35</v>
      </c>
      <c r="E38" s="224"/>
      <c r="F38" s="340"/>
      <c r="G38" s="340"/>
      <c r="H38" s="340"/>
      <c r="I38" s="300"/>
      <c r="J38" s="348"/>
      <c r="K38" s="222"/>
      <c r="L38" s="349"/>
      <c r="M38" s="350"/>
      <c r="N38" s="347"/>
      <c r="O38" s="351"/>
      <c r="P38" s="351"/>
      <c r="Q38" s="351"/>
      <c r="R38" s="351"/>
      <c r="S38" s="351"/>
      <c r="T38" s="203"/>
      <c r="U38" s="343"/>
      <c r="V38" s="351"/>
      <c r="W38" s="343"/>
      <c r="X38" s="343"/>
      <c r="Y38" s="343"/>
      <c r="Z38" s="343"/>
      <c r="AA38" s="343"/>
      <c r="AB38" s="343"/>
      <c r="AC38" s="352"/>
      <c r="AD38" s="227"/>
      <c r="AE38" s="303"/>
      <c r="AF38" s="352"/>
      <c r="AG38" s="352"/>
      <c r="AH38" s="207"/>
      <c r="AI38" s="227"/>
      <c r="AJ38" s="344"/>
      <c r="AK38" s="353"/>
      <c r="AL38" s="227"/>
      <c r="AM38" s="227"/>
      <c r="AN38" s="227"/>
      <c r="AO38" s="229"/>
      <c r="AP38" s="353"/>
      <c r="AQ38" s="227"/>
      <c r="AR38" s="229"/>
      <c r="AS38" s="353"/>
      <c r="AT38" s="353"/>
      <c r="AU38" s="353"/>
      <c r="AV38" s="227"/>
      <c r="AW38" s="229"/>
      <c r="AX38" s="227"/>
      <c r="AY38" s="229"/>
      <c r="AZ38" s="229"/>
      <c r="BA38" s="229"/>
      <c r="BB38" s="231"/>
      <c r="BC38" s="231"/>
      <c r="BD38" s="231"/>
      <c r="BE38" s="231"/>
      <c r="BF38" s="231"/>
      <c r="BG38" s="231"/>
      <c r="BH38" s="231"/>
      <c r="BI38" s="232"/>
      <c r="BJ38" s="346"/>
      <c r="BK38" s="346"/>
      <c r="BL38" s="346"/>
      <c r="BM38" s="346"/>
      <c r="BN38" s="346"/>
      <c r="BO38" s="346"/>
      <c r="BP38" s="346"/>
      <c r="BQ38" s="352"/>
      <c r="BR38" s="346"/>
      <c r="BS38" s="346"/>
      <c r="BT38" s="346"/>
      <c r="BU38" s="346"/>
      <c r="BV38" s="346"/>
      <c r="BW38" s="346"/>
      <c r="BX38" s="346"/>
      <c r="BY38" s="346"/>
      <c r="BZ38" s="346"/>
      <c r="CA38" s="346"/>
      <c r="CB38" s="346"/>
    </row>
    <row r="39" spans="1:80" s="354" customFormat="1" ht="15.75" hidden="1" thickBot="1" x14ac:dyDescent="0.3">
      <c r="A39" s="346">
        <f t="shared" si="2"/>
        <v>36</v>
      </c>
      <c r="B39" s="355" t="s">
        <v>508</v>
      </c>
      <c r="C39" s="356" t="s">
        <v>509</v>
      </c>
      <c r="D39" s="356" t="s">
        <v>510</v>
      </c>
      <c r="E39" s="357" t="s">
        <v>496</v>
      </c>
      <c r="F39" s="356" t="s">
        <v>511</v>
      </c>
      <c r="G39" s="356"/>
      <c r="H39" s="356"/>
      <c r="I39" s="358" t="s">
        <v>512</v>
      </c>
      <c r="J39" s="359" t="s">
        <v>513</v>
      </c>
      <c r="K39" s="222"/>
      <c r="L39" s="360"/>
      <c r="M39" s="361" t="s">
        <v>514</v>
      </c>
      <c r="N39" s="347" t="s">
        <v>454</v>
      </c>
      <c r="O39" s="351"/>
      <c r="P39" s="351"/>
      <c r="Q39" s="351">
        <v>50</v>
      </c>
      <c r="R39" s="351">
        <v>12</v>
      </c>
      <c r="S39" s="351">
        <v>50.8</v>
      </c>
      <c r="T39" s="203">
        <f t="shared" ref="T39:T74" si="3">(R39*(S39/1000)*PI())/60</f>
        <v>3.1918581360472292E-2</v>
      </c>
      <c r="U39" s="343">
        <v>4</v>
      </c>
      <c r="V39" s="351" t="s">
        <v>498</v>
      </c>
      <c r="W39" s="343">
        <v>0.99</v>
      </c>
      <c r="X39" s="343"/>
      <c r="Y39" s="343">
        <v>228</v>
      </c>
      <c r="Z39" s="343" t="s">
        <v>139</v>
      </c>
      <c r="AA39" s="343">
        <v>65</v>
      </c>
      <c r="AB39" s="343"/>
      <c r="AC39" s="352"/>
      <c r="AD39" s="227">
        <v>2.85</v>
      </c>
      <c r="AE39" s="303">
        <v>433.92</v>
      </c>
      <c r="AF39" s="352" t="s">
        <v>139</v>
      </c>
      <c r="AG39" s="352" t="s">
        <v>504</v>
      </c>
      <c r="AH39" s="207">
        <v>40</v>
      </c>
      <c r="AI39" s="227" t="s">
        <v>394</v>
      </c>
      <c r="AJ39" s="344" t="s">
        <v>385</v>
      </c>
      <c r="AK39" s="353" t="s">
        <v>386</v>
      </c>
      <c r="AL39" s="227" t="s">
        <v>387</v>
      </c>
      <c r="AM39" s="227" t="s">
        <v>455</v>
      </c>
      <c r="AN39" s="227">
        <v>666</v>
      </c>
      <c r="AO39" s="229"/>
      <c r="AP39" s="353"/>
      <c r="AQ39" s="227">
        <v>45</v>
      </c>
      <c r="AR39" s="229"/>
      <c r="AS39" s="353"/>
      <c r="AT39" s="353"/>
      <c r="AU39" s="353"/>
      <c r="AV39" s="227">
        <v>2500</v>
      </c>
      <c r="AW39" s="229"/>
      <c r="AX39" s="227">
        <v>165</v>
      </c>
      <c r="AY39" s="229"/>
      <c r="AZ39" s="229"/>
      <c r="BA39" s="229"/>
      <c r="BB39" s="231">
        <v>710</v>
      </c>
      <c r="BC39" s="231">
        <v>80</v>
      </c>
      <c r="BD39" s="231">
        <v>80</v>
      </c>
      <c r="BE39" s="231">
        <v>10</v>
      </c>
      <c r="BF39" s="231">
        <v>730</v>
      </c>
      <c r="BG39" s="231">
        <v>430</v>
      </c>
      <c r="BH39" s="231">
        <v>185</v>
      </c>
      <c r="BI39" s="232"/>
      <c r="BJ39" s="346"/>
      <c r="BK39" s="346"/>
      <c r="BL39" s="346"/>
      <c r="BM39" s="346"/>
      <c r="BN39" s="346"/>
      <c r="BO39" s="346"/>
      <c r="BP39" s="346"/>
      <c r="BQ39" s="352"/>
      <c r="BR39" s="346"/>
      <c r="BS39" s="346"/>
      <c r="BT39" s="346"/>
      <c r="BU39" s="346"/>
      <c r="BV39" s="346"/>
      <c r="BW39" s="346"/>
      <c r="BX39" s="346"/>
      <c r="BY39" s="346"/>
      <c r="BZ39" s="346"/>
      <c r="CA39" s="346"/>
      <c r="CB39" s="346"/>
    </row>
    <row r="40" spans="1:80" s="354" customFormat="1" ht="15.75" hidden="1" thickBot="1" x14ac:dyDescent="0.3">
      <c r="A40" s="346">
        <f t="shared" si="2"/>
        <v>37</v>
      </c>
      <c r="B40" s="362" t="s">
        <v>515</v>
      </c>
      <c r="C40" s="356" t="s">
        <v>509</v>
      </c>
      <c r="D40" s="356" t="s">
        <v>510</v>
      </c>
      <c r="E40" s="357" t="s">
        <v>496</v>
      </c>
      <c r="F40" s="356" t="s">
        <v>511</v>
      </c>
      <c r="G40" s="356"/>
      <c r="H40" s="356"/>
      <c r="I40" s="363" t="s">
        <v>516</v>
      </c>
      <c r="J40" s="364" t="s">
        <v>517</v>
      </c>
      <c r="K40" s="365"/>
      <c r="L40" s="366"/>
      <c r="M40" s="367" t="s">
        <v>518</v>
      </c>
      <c r="N40" s="347" t="s">
        <v>454</v>
      </c>
      <c r="O40" s="351"/>
      <c r="P40" s="351"/>
      <c r="Q40" s="351">
        <v>50</v>
      </c>
      <c r="R40" s="351">
        <v>12</v>
      </c>
      <c r="S40" s="351">
        <v>50.8</v>
      </c>
      <c r="T40" s="203">
        <f t="shared" si="3"/>
        <v>3.1918581360472292E-2</v>
      </c>
      <c r="U40" s="343">
        <v>4</v>
      </c>
      <c r="V40" s="351" t="s">
        <v>498</v>
      </c>
      <c r="W40" s="343">
        <v>0.99</v>
      </c>
      <c r="X40" s="343"/>
      <c r="Y40" s="343">
        <v>228</v>
      </c>
      <c r="Z40" s="343" t="s">
        <v>139</v>
      </c>
      <c r="AA40" s="343">
        <v>65</v>
      </c>
      <c r="AB40" s="343"/>
      <c r="AC40" s="352"/>
      <c r="AD40" s="227">
        <v>2.85</v>
      </c>
      <c r="AE40" s="303">
        <v>433.92</v>
      </c>
      <c r="AF40" s="352" t="s">
        <v>139</v>
      </c>
      <c r="AG40" s="352" t="s">
        <v>504</v>
      </c>
      <c r="AH40" s="207">
        <v>40</v>
      </c>
      <c r="AI40" s="227" t="s">
        <v>394</v>
      </c>
      <c r="AJ40" s="344" t="s">
        <v>385</v>
      </c>
      <c r="AK40" s="353" t="s">
        <v>386</v>
      </c>
      <c r="AL40" s="227" t="s">
        <v>387</v>
      </c>
      <c r="AM40" s="227" t="s">
        <v>455</v>
      </c>
      <c r="AN40" s="227">
        <v>666</v>
      </c>
      <c r="AO40" s="229"/>
      <c r="AP40" s="353"/>
      <c r="AQ40" s="227">
        <v>45</v>
      </c>
      <c r="AR40" s="229"/>
      <c r="AS40" s="353"/>
      <c r="AT40" s="353"/>
      <c r="AU40" s="353"/>
      <c r="AV40" s="227">
        <v>2500</v>
      </c>
      <c r="AW40" s="229"/>
      <c r="AX40" s="227">
        <v>165</v>
      </c>
      <c r="AY40" s="229"/>
      <c r="AZ40" s="229"/>
      <c r="BA40" s="229"/>
      <c r="BB40" s="231">
        <v>710</v>
      </c>
      <c r="BC40" s="231">
        <v>80</v>
      </c>
      <c r="BD40" s="231">
        <v>80</v>
      </c>
      <c r="BE40" s="231">
        <v>10</v>
      </c>
      <c r="BF40" s="231">
        <v>730</v>
      </c>
      <c r="BG40" s="231">
        <v>430</v>
      </c>
      <c r="BH40" s="231">
        <v>185</v>
      </c>
      <c r="BI40" s="232"/>
      <c r="BJ40" s="346"/>
      <c r="BK40" s="346"/>
      <c r="BL40" s="346"/>
      <c r="BM40" s="346"/>
      <c r="BN40" s="346"/>
      <c r="BO40" s="346"/>
      <c r="BP40" s="346"/>
      <c r="BQ40" s="352"/>
      <c r="BR40" s="346"/>
      <c r="BS40" s="346"/>
      <c r="BT40" s="346"/>
      <c r="BU40" s="346"/>
      <c r="BV40" s="346"/>
      <c r="BW40" s="346"/>
      <c r="BX40" s="346"/>
      <c r="BY40" s="346"/>
      <c r="BZ40" s="346"/>
      <c r="CA40" s="346"/>
      <c r="CB40" s="346"/>
    </row>
    <row r="41" spans="1:80" s="354" customFormat="1" ht="15.75" hidden="1" thickBot="1" x14ac:dyDescent="0.3">
      <c r="A41" s="346">
        <f t="shared" si="2"/>
        <v>38</v>
      </c>
      <c r="B41" s="355" t="s">
        <v>519</v>
      </c>
      <c r="C41" s="356" t="s">
        <v>520</v>
      </c>
      <c r="D41" s="356" t="s">
        <v>510</v>
      </c>
      <c r="E41" s="357" t="s">
        <v>496</v>
      </c>
      <c r="F41" s="356" t="s">
        <v>511</v>
      </c>
      <c r="G41" s="356"/>
      <c r="H41" s="356"/>
      <c r="I41" s="358" t="s">
        <v>521</v>
      </c>
      <c r="J41" s="359" t="s">
        <v>522</v>
      </c>
      <c r="K41" s="222"/>
      <c r="L41" s="360"/>
      <c r="M41" s="361" t="s">
        <v>523</v>
      </c>
      <c r="N41" s="347" t="s">
        <v>454</v>
      </c>
      <c r="O41" s="351"/>
      <c r="P41" s="351"/>
      <c r="Q41" s="351">
        <v>20</v>
      </c>
      <c r="R41" s="351">
        <v>15</v>
      </c>
      <c r="S41" s="351">
        <v>50.8</v>
      </c>
      <c r="T41" s="203">
        <f t="shared" si="3"/>
        <v>3.9898226700590372E-2</v>
      </c>
      <c r="U41" s="343">
        <v>4</v>
      </c>
      <c r="V41" s="351" t="s">
        <v>498</v>
      </c>
      <c r="W41" s="343">
        <v>0.68</v>
      </c>
      <c r="X41" s="343"/>
      <c r="Y41" s="343">
        <v>161</v>
      </c>
      <c r="Z41" s="343" t="s">
        <v>139</v>
      </c>
      <c r="AA41" s="343">
        <v>65</v>
      </c>
      <c r="AB41" s="343"/>
      <c r="AC41" s="352"/>
      <c r="AD41" s="227">
        <v>2.29</v>
      </c>
      <c r="AE41" s="303">
        <v>433.92</v>
      </c>
      <c r="AF41" s="352" t="s">
        <v>139</v>
      </c>
      <c r="AG41" s="352" t="s">
        <v>504</v>
      </c>
      <c r="AH41" s="207">
        <v>40</v>
      </c>
      <c r="AI41" s="227" t="s">
        <v>394</v>
      </c>
      <c r="AJ41" s="344" t="s">
        <v>385</v>
      </c>
      <c r="AK41" s="353" t="s">
        <v>386</v>
      </c>
      <c r="AL41" s="227" t="s">
        <v>387</v>
      </c>
      <c r="AM41" s="227" t="s">
        <v>455</v>
      </c>
      <c r="AN41" s="227">
        <v>615</v>
      </c>
      <c r="AO41" s="229"/>
      <c r="AP41" s="353"/>
      <c r="AQ41" s="227">
        <v>45</v>
      </c>
      <c r="AR41" s="229"/>
      <c r="AS41" s="353"/>
      <c r="AT41" s="353"/>
      <c r="AU41" s="353"/>
      <c r="AV41" s="227">
        <v>2500</v>
      </c>
      <c r="AW41" s="229"/>
      <c r="AX41" s="227">
        <v>165</v>
      </c>
      <c r="AY41" s="229"/>
      <c r="AZ41" s="229"/>
      <c r="BA41" s="229"/>
      <c r="BB41" s="231">
        <v>710</v>
      </c>
      <c r="BC41" s="231">
        <v>80</v>
      </c>
      <c r="BD41" s="231">
        <v>80</v>
      </c>
      <c r="BE41" s="231">
        <v>10</v>
      </c>
      <c r="BF41" s="231">
        <v>730</v>
      </c>
      <c r="BG41" s="231">
        <v>430</v>
      </c>
      <c r="BH41" s="231">
        <v>185</v>
      </c>
      <c r="BI41" s="232"/>
      <c r="BJ41" s="346"/>
      <c r="BK41" s="346"/>
      <c r="BL41" s="346"/>
      <c r="BM41" s="346"/>
      <c r="BN41" s="346"/>
      <c r="BO41" s="346"/>
      <c r="BP41" s="346"/>
      <c r="BQ41" s="352"/>
      <c r="BR41" s="346"/>
      <c r="BS41" s="346"/>
      <c r="BT41" s="346"/>
      <c r="BU41" s="346"/>
      <c r="BV41" s="346"/>
      <c r="BW41" s="346"/>
      <c r="BX41" s="346"/>
      <c r="BY41" s="346"/>
      <c r="BZ41" s="346"/>
      <c r="CA41" s="346"/>
      <c r="CB41" s="346"/>
    </row>
    <row r="42" spans="1:80" s="354" customFormat="1" ht="15.75" thickBot="1" x14ac:dyDescent="0.3">
      <c r="A42" s="346">
        <f t="shared" si="2"/>
        <v>39</v>
      </c>
      <c r="B42" s="362" t="s">
        <v>524</v>
      </c>
      <c r="C42" s="356" t="s">
        <v>525</v>
      </c>
      <c r="D42" s="356" t="s">
        <v>510</v>
      </c>
      <c r="E42" s="357"/>
      <c r="F42" s="356"/>
      <c r="G42" s="356"/>
      <c r="H42" s="356"/>
      <c r="I42" s="363"/>
      <c r="J42" s="364"/>
      <c r="K42" s="365"/>
      <c r="L42" s="366"/>
      <c r="M42" s="367"/>
      <c r="N42" s="347"/>
      <c r="O42" s="351"/>
      <c r="P42" s="351"/>
      <c r="Q42" s="351"/>
      <c r="R42" s="351"/>
      <c r="S42" s="351"/>
      <c r="T42" s="203"/>
      <c r="U42" s="343"/>
      <c r="V42" s="351"/>
      <c r="W42" s="343"/>
      <c r="X42" s="343"/>
      <c r="Y42" s="343"/>
      <c r="Z42" s="343"/>
      <c r="AA42" s="343"/>
      <c r="AB42" s="343"/>
      <c r="AC42" s="352"/>
      <c r="AD42" s="227"/>
      <c r="AE42" s="303"/>
      <c r="AF42" s="352"/>
      <c r="AG42" s="352"/>
      <c r="AH42" s="207"/>
      <c r="AI42" s="227"/>
      <c r="AJ42" s="344"/>
      <c r="AK42" s="353"/>
      <c r="AL42" s="227"/>
      <c r="AM42" s="227"/>
      <c r="AN42" s="227"/>
      <c r="AO42" s="229"/>
      <c r="AP42" s="353"/>
      <c r="AQ42" s="227"/>
      <c r="AR42" s="229"/>
      <c r="AS42" s="353"/>
      <c r="AT42" s="353"/>
      <c r="AU42" s="353"/>
      <c r="AV42" s="227"/>
      <c r="AW42" s="229"/>
      <c r="AX42" s="227"/>
      <c r="AY42" s="229"/>
      <c r="AZ42" s="229"/>
      <c r="BA42" s="229"/>
      <c r="BB42" s="231"/>
      <c r="BC42" s="231"/>
      <c r="BD42" s="231"/>
      <c r="BE42" s="231"/>
      <c r="BF42" s="231"/>
      <c r="BG42" s="231"/>
      <c r="BH42" s="231"/>
      <c r="BI42" s="232"/>
      <c r="BJ42" s="346"/>
      <c r="BK42" s="346"/>
      <c r="BL42" s="346"/>
      <c r="BM42" s="346"/>
      <c r="BN42" s="346"/>
      <c r="BO42" s="346"/>
      <c r="BP42" s="346"/>
      <c r="BQ42" s="352"/>
      <c r="BR42" s="346"/>
      <c r="BS42" s="346"/>
      <c r="BT42" s="346"/>
      <c r="BU42" s="346"/>
      <c r="BV42" s="346"/>
      <c r="BW42" s="346"/>
      <c r="BX42" s="346"/>
      <c r="BY42" s="346"/>
      <c r="BZ42" s="346"/>
      <c r="CA42" s="346"/>
      <c r="CB42" s="346"/>
    </row>
    <row r="43" spans="1:80" ht="15.75" thickBot="1" x14ac:dyDescent="0.3">
      <c r="A43" s="346">
        <f t="shared" si="2"/>
        <v>40</v>
      </c>
      <c r="B43" s="224" t="s">
        <v>527</v>
      </c>
      <c r="C43" s="356" t="s">
        <v>502</v>
      </c>
      <c r="D43" s="356" t="s">
        <v>528</v>
      </c>
      <c r="E43" s="357"/>
      <c r="F43" s="356"/>
      <c r="G43" s="356"/>
      <c r="H43" s="356"/>
      <c r="I43" s="368"/>
      <c r="J43" s="369"/>
      <c r="K43" s="222"/>
      <c r="L43" s="370"/>
      <c r="M43" s="371"/>
      <c r="N43" s="340"/>
      <c r="O43" s="342"/>
      <c r="P43" s="342"/>
      <c r="Q43" s="342"/>
      <c r="R43" s="342"/>
      <c r="S43" s="342"/>
      <c r="T43" s="203"/>
      <c r="U43" s="343"/>
      <c r="V43" s="342"/>
      <c r="W43" s="343"/>
      <c r="X43" s="343"/>
      <c r="Y43" s="343"/>
      <c r="Z43" s="343"/>
      <c r="AA43" s="372"/>
      <c r="AB43" s="372"/>
      <c r="AC43" s="226"/>
      <c r="AD43" s="227"/>
      <c r="AE43" s="303"/>
      <c r="AF43" s="226"/>
      <c r="AG43" s="226"/>
      <c r="AH43" s="207"/>
      <c r="AI43" s="227"/>
      <c r="AJ43" s="373"/>
      <c r="AK43" s="243"/>
      <c r="AL43" s="227"/>
      <c r="AM43" s="282"/>
      <c r="AN43" s="282"/>
      <c r="AO43" s="229"/>
      <c r="AP43" s="228"/>
      <c r="AQ43" s="227"/>
      <c r="AR43" s="229"/>
      <c r="AS43" s="228"/>
      <c r="AT43" s="228"/>
      <c r="AU43" s="228"/>
      <c r="AV43" s="227"/>
      <c r="AW43" s="229"/>
      <c r="AX43" s="227"/>
      <c r="AY43" s="229"/>
      <c r="AZ43" s="229"/>
      <c r="BA43" s="229"/>
      <c r="BB43" s="231"/>
      <c r="BC43" s="231"/>
      <c r="BD43" s="231"/>
      <c r="BE43" s="231"/>
      <c r="BF43" s="231"/>
      <c r="BG43" s="231"/>
      <c r="BH43" s="231"/>
      <c r="BI43" s="232"/>
      <c r="BJ43" s="233"/>
      <c r="BK43" s="233"/>
      <c r="BL43" s="233"/>
      <c r="BM43" s="233"/>
      <c r="BN43" s="233"/>
      <c r="BO43" s="233"/>
      <c r="BP43" s="233"/>
      <c r="BQ43" s="226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</row>
    <row r="44" spans="1:80" s="354" customFormat="1" x14ac:dyDescent="0.25">
      <c r="A44" s="346">
        <f t="shared" si="2"/>
        <v>41</v>
      </c>
      <c r="B44" s="362" t="s">
        <v>530</v>
      </c>
      <c r="C44" s="356" t="s">
        <v>525</v>
      </c>
      <c r="D44" s="356" t="s">
        <v>510</v>
      </c>
      <c r="E44" s="357"/>
      <c r="F44" s="356"/>
      <c r="G44" s="356"/>
      <c r="H44" s="356"/>
      <c r="I44" s="363"/>
      <c r="J44" s="364"/>
      <c r="K44" s="365"/>
      <c r="L44" s="366"/>
      <c r="M44" s="367"/>
      <c r="N44" s="347"/>
      <c r="O44" s="351"/>
      <c r="P44" s="351"/>
      <c r="Q44" s="351"/>
      <c r="R44" s="351"/>
      <c r="S44" s="351"/>
      <c r="T44" s="203"/>
      <c r="U44" s="343"/>
      <c r="V44" s="351"/>
      <c r="W44" s="343"/>
      <c r="X44" s="343"/>
      <c r="Y44" s="343"/>
      <c r="Z44" s="343"/>
      <c r="AA44" s="343"/>
      <c r="AB44" s="343"/>
      <c r="AC44" s="352"/>
      <c r="AD44" s="227"/>
      <c r="AE44" s="303"/>
      <c r="AF44" s="352"/>
      <c r="AG44" s="352"/>
      <c r="AH44" s="207"/>
      <c r="AI44" s="227"/>
      <c r="AJ44" s="344"/>
      <c r="AK44" s="353"/>
      <c r="AL44" s="227"/>
      <c r="AM44" s="227"/>
      <c r="AN44" s="227"/>
      <c r="AO44" s="229"/>
      <c r="AP44" s="353"/>
      <c r="AQ44" s="227"/>
      <c r="AR44" s="229"/>
      <c r="AS44" s="353"/>
      <c r="AT44" s="353"/>
      <c r="AU44" s="353"/>
      <c r="AV44" s="227"/>
      <c r="AW44" s="229"/>
      <c r="AX44" s="227"/>
      <c r="AY44" s="229"/>
      <c r="AZ44" s="229"/>
      <c r="BA44" s="229"/>
      <c r="BB44" s="231"/>
      <c r="BC44" s="231"/>
      <c r="BD44" s="231"/>
      <c r="BE44" s="231"/>
      <c r="BF44" s="231"/>
      <c r="BG44" s="231"/>
      <c r="BH44" s="231"/>
      <c r="BI44" s="232"/>
      <c r="BJ44" s="346"/>
      <c r="BK44" s="346"/>
      <c r="BL44" s="346"/>
      <c r="BM44" s="346"/>
      <c r="BN44" s="346"/>
      <c r="BO44" s="346"/>
      <c r="BP44" s="346"/>
      <c r="BQ44" s="352"/>
      <c r="BR44" s="346"/>
      <c r="BS44" s="346"/>
      <c r="BT44" s="346"/>
      <c r="BU44" s="346"/>
      <c r="BV44" s="346"/>
      <c r="BW44" s="346"/>
      <c r="BX44" s="346"/>
      <c r="BY44" s="346"/>
      <c r="BZ44" s="346"/>
      <c r="CA44" s="346"/>
      <c r="CB44" s="346"/>
    </row>
    <row r="45" spans="1:80" hidden="1" x14ac:dyDescent="0.25">
      <c r="T45" s="203">
        <f t="shared" si="3"/>
        <v>0</v>
      </c>
    </row>
    <row r="46" spans="1:80" hidden="1" x14ac:dyDescent="0.25">
      <c r="C46" s="375" t="s">
        <v>532</v>
      </c>
      <c r="D46" s="375"/>
      <c r="E46" s="375"/>
      <c r="F46" s="375"/>
      <c r="G46" s="375"/>
      <c r="H46" s="375"/>
      <c r="I46" s="377" t="s">
        <v>533</v>
      </c>
      <c r="T46" s="203">
        <f t="shared" si="3"/>
        <v>0</v>
      </c>
    </row>
    <row r="47" spans="1:80" hidden="1" x14ac:dyDescent="0.25">
      <c r="C47" s="375" t="s">
        <v>534</v>
      </c>
      <c r="D47" s="375"/>
      <c r="E47" s="375"/>
      <c r="F47" s="375"/>
      <c r="G47" s="375"/>
      <c r="H47" s="375"/>
      <c r="I47" s="377" t="s">
        <v>535</v>
      </c>
      <c r="T47" s="203">
        <f t="shared" si="3"/>
        <v>0</v>
      </c>
    </row>
    <row r="48" spans="1:80" hidden="1" x14ac:dyDescent="0.25">
      <c r="C48" s="375" t="s">
        <v>536</v>
      </c>
      <c r="D48" s="375"/>
      <c r="E48" s="375"/>
      <c r="F48" s="375"/>
      <c r="G48" s="375"/>
      <c r="H48" s="375"/>
      <c r="I48" s="377" t="s">
        <v>537</v>
      </c>
      <c r="T48" s="203">
        <f t="shared" si="3"/>
        <v>0</v>
      </c>
      <c r="U48" s="376" t="s">
        <v>536</v>
      </c>
    </row>
    <row r="49" spans="3:39" hidden="1" x14ac:dyDescent="0.25">
      <c r="C49" s="375" t="s">
        <v>538</v>
      </c>
      <c r="D49" s="375"/>
      <c r="E49" s="375"/>
      <c r="F49" s="375"/>
      <c r="G49" s="375"/>
      <c r="H49" s="375"/>
      <c r="I49" s="377" t="s">
        <v>539</v>
      </c>
      <c r="T49" s="203">
        <f t="shared" si="3"/>
        <v>0</v>
      </c>
      <c r="U49" s="376" t="s">
        <v>538</v>
      </c>
    </row>
    <row r="50" spans="3:39" hidden="1" x14ac:dyDescent="0.25">
      <c r="C50" s="375" t="s">
        <v>540</v>
      </c>
      <c r="D50" s="375"/>
      <c r="E50" s="375"/>
      <c r="F50" s="375"/>
      <c r="G50" s="375"/>
      <c r="H50" s="375"/>
      <c r="I50" s="377" t="s">
        <v>541</v>
      </c>
      <c r="T50" s="203">
        <f t="shared" si="3"/>
        <v>0</v>
      </c>
      <c r="U50" s="376" t="s">
        <v>536</v>
      </c>
    </row>
    <row r="51" spans="3:39" hidden="1" x14ac:dyDescent="0.25">
      <c r="C51" s="375" t="s">
        <v>542</v>
      </c>
      <c r="D51" s="375"/>
      <c r="E51" s="375"/>
      <c r="F51" s="375"/>
      <c r="G51" s="375"/>
      <c r="H51" s="375"/>
      <c r="I51" s="377" t="s">
        <v>543</v>
      </c>
      <c r="T51" s="203">
        <f t="shared" si="3"/>
        <v>0</v>
      </c>
      <c r="U51" s="376" t="s">
        <v>538</v>
      </c>
    </row>
    <row r="52" spans="3:39" hidden="1" x14ac:dyDescent="0.25">
      <c r="C52" s="375" t="s">
        <v>544</v>
      </c>
      <c r="D52" s="375"/>
      <c r="E52" s="375"/>
      <c r="F52" s="375"/>
      <c r="G52" s="375"/>
      <c r="H52" s="375"/>
      <c r="I52" s="377" t="s">
        <v>545</v>
      </c>
      <c r="T52" s="203">
        <f t="shared" si="3"/>
        <v>0</v>
      </c>
      <c r="U52" s="376" t="s">
        <v>536</v>
      </c>
    </row>
    <row r="53" spans="3:39" hidden="1" x14ac:dyDescent="0.25">
      <c r="C53" s="375" t="s">
        <v>546</v>
      </c>
      <c r="D53" s="375"/>
      <c r="E53" s="375"/>
      <c r="F53" s="375"/>
      <c r="G53" s="375"/>
      <c r="H53" s="375"/>
      <c r="I53" s="377" t="s">
        <v>547</v>
      </c>
      <c r="T53" s="203">
        <f t="shared" si="3"/>
        <v>0</v>
      </c>
      <c r="U53" s="376" t="s">
        <v>538</v>
      </c>
    </row>
    <row r="54" spans="3:39" hidden="1" x14ac:dyDescent="0.25">
      <c r="T54" s="203">
        <f t="shared" si="3"/>
        <v>0</v>
      </c>
    </row>
    <row r="55" spans="3:39" hidden="1" x14ac:dyDescent="0.25">
      <c r="C55" s="375" t="s">
        <v>548</v>
      </c>
      <c r="D55" s="375"/>
      <c r="E55" s="375"/>
      <c r="F55" s="375"/>
      <c r="G55" s="375"/>
      <c r="H55" s="375"/>
      <c r="I55" s="377" t="s">
        <v>549</v>
      </c>
      <c r="T55" s="203">
        <f t="shared" si="3"/>
        <v>0</v>
      </c>
    </row>
    <row r="56" spans="3:39" hidden="1" x14ac:dyDescent="0.25">
      <c r="T56" s="203">
        <f t="shared" si="3"/>
        <v>0</v>
      </c>
    </row>
    <row r="57" spans="3:39" hidden="1" x14ac:dyDescent="0.25">
      <c r="C57" s="375" t="s">
        <v>550</v>
      </c>
      <c r="D57" s="375"/>
      <c r="E57" s="375"/>
      <c r="F57" s="375"/>
      <c r="G57" s="375"/>
      <c r="H57" s="375"/>
      <c r="I57" s="377" t="s">
        <v>551</v>
      </c>
      <c r="T57" s="203">
        <f t="shared" si="3"/>
        <v>0</v>
      </c>
    </row>
    <row r="58" spans="3:39" hidden="1" x14ac:dyDescent="0.25">
      <c r="C58" s="375" t="s">
        <v>552</v>
      </c>
      <c r="D58" s="375"/>
      <c r="E58" s="375"/>
      <c r="F58" s="375"/>
      <c r="G58" s="375"/>
      <c r="H58" s="375"/>
      <c r="I58" s="377" t="s">
        <v>553</v>
      </c>
      <c r="T58" s="203">
        <f t="shared" si="3"/>
        <v>0</v>
      </c>
    </row>
    <row r="59" spans="3:39" hidden="1" x14ac:dyDescent="0.25">
      <c r="C59" s="375" t="s">
        <v>554</v>
      </c>
      <c r="D59" s="375"/>
      <c r="E59" s="375"/>
      <c r="F59" s="375"/>
      <c r="G59" s="375"/>
      <c r="H59" s="375"/>
      <c r="I59" s="377" t="s">
        <v>555</v>
      </c>
      <c r="T59" s="203">
        <f t="shared" si="3"/>
        <v>0</v>
      </c>
      <c r="AM59" s="381"/>
    </row>
    <row r="60" spans="3:39" hidden="1" x14ac:dyDescent="0.25">
      <c r="C60" s="375" t="s">
        <v>556</v>
      </c>
      <c r="D60" s="375"/>
      <c r="E60" s="375"/>
      <c r="F60" s="375"/>
      <c r="G60" s="375"/>
      <c r="H60" s="375"/>
      <c r="I60" s="377" t="s">
        <v>557</v>
      </c>
      <c r="T60" s="203">
        <f t="shared" si="3"/>
        <v>0</v>
      </c>
    </row>
    <row r="61" spans="3:39" hidden="1" x14ac:dyDescent="0.25">
      <c r="C61" s="375" t="s">
        <v>558</v>
      </c>
      <c r="D61" s="375"/>
      <c r="E61" s="375"/>
      <c r="F61" s="375"/>
      <c r="G61" s="375"/>
      <c r="H61" s="375"/>
      <c r="I61" s="377" t="s">
        <v>559</v>
      </c>
      <c r="T61" s="203">
        <f t="shared" si="3"/>
        <v>0</v>
      </c>
    </row>
    <row r="62" spans="3:39" hidden="1" x14ac:dyDescent="0.25">
      <c r="T62" s="203">
        <f t="shared" si="3"/>
        <v>0</v>
      </c>
    </row>
    <row r="63" spans="3:39" hidden="1" x14ac:dyDescent="0.25">
      <c r="C63" s="375" t="s">
        <v>560</v>
      </c>
      <c r="D63" s="375"/>
      <c r="E63" s="375"/>
      <c r="F63" s="375"/>
      <c r="G63" s="375"/>
      <c r="H63" s="375"/>
      <c r="I63" s="377" t="s">
        <v>561</v>
      </c>
      <c r="T63" s="203">
        <f t="shared" si="3"/>
        <v>0</v>
      </c>
    </row>
    <row r="64" spans="3:39" hidden="1" x14ac:dyDescent="0.25">
      <c r="C64" s="375" t="s">
        <v>562</v>
      </c>
      <c r="D64" s="375"/>
      <c r="E64" s="375"/>
      <c r="F64" s="375"/>
      <c r="G64" s="375"/>
      <c r="H64" s="375"/>
      <c r="I64" s="377" t="s">
        <v>563</v>
      </c>
      <c r="T64" s="203">
        <f t="shared" si="3"/>
        <v>0</v>
      </c>
    </row>
    <row r="65" spans="2:44" hidden="1" x14ac:dyDescent="0.25">
      <c r="C65" s="375"/>
      <c r="D65" s="375"/>
      <c r="E65" s="375"/>
      <c r="F65" s="375"/>
      <c r="G65" s="375"/>
      <c r="H65" s="375"/>
      <c r="T65" s="203">
        <f t="shared" si="3"/>
        <v>0</v>
      </c>
    </row>
    <row r="66" spans="2:44" hidden="1" x14ac:dyDescent="0.25">
      <c r="C66" s="382" t="s">
        <v>564</v>
      </c>
      <c r="D66" s="382"/>
      <c r="E66" s="382"/>
      <c r="F66" s="382"/>
      <c r="G66" s="382"/>
      <c r="H66" s="382"/>
      <c r="I66" s="383">
        <v>1.2</v>
      </c>
      <c r="T66" s="203">
        <f t="shared" si="3"/>
        <v>0</v>
      </c>
    </row>
    <row r="67" spans="2:44" hidden="1" x14ac:dyDescent="0.25">
      <c r="C67" s="384" t="s">
        <v>565</v>
      </c>
      <c r="D67" s="384"/>
      <c r="E67" s="384"/>
      <c r="F67" s="384"/>
      <c r="G67" s="384"/>
      <c r="H67" s="384"/>
      <c r="I67" s="385">
        <v>10</v>
      </c>
      <c r="T67" s="203">
        <f t="shared" si="3"/>
        <v>0</v>
      </c>
    </row>
    <row r="68" spans="2:44" hidden="1" x14ac:dyDescent="0.25">
      <c r="C68" s="386">
        <v>100</v>
      </c>
      <c r="D68" s="387"/>
      <c r="E68" s="387"/>
      <c r="F68" s="387"/>
      <c r="G68" s="387"/>
      <c r="H68" s="387"/>
      <c r="I68" s="388">
        <v>10</v>
      </c>
      <c r="T68" s="203">
        <f t="shared" si="3"/>
        <v>0</v>
      </c>
    </row>
    <row r="69" spans="2:44" ht="15.75" hidden="1" thickBot="1" x14ac:dyDescent="0.3">
      <c r="C69" s="389" t="s">
        <v>566</v>
      </c>
      <c r="D69" s="390"/>
      <c r="E69" s="390"/>
      <c r="F69" s="390"/>
      <c r="G69" s="390"/>
      <c r="H69" s="390"/>
      <c r="I69" s="391">
        <v>1.2</v>
      </c>
      <c r="T69" s="203">
        <f t="shared" si="3"/>
        <v>0</v>
      </c>
    </row>
    <row r="70" spans="2:44" hidden="1" x14ac:dyDescent="0.25">
      <c r="C70" s="392" t="s">
        <v>566</v>
      </c>
      <c r="D70" s="392"/>
      <c r="E70" s="392"/>
      <c r="F70" s="392"/>
      <c r="G70" s="392"/>
      <c r="H70" s="392"/>
      <c r="I70" s="393">
        <v>1.2</v>
      </c>
      <c r="T70" s="203">
        <f t="shared" si="3"/>
        <v>0</v>
      </c>
    </row>
    <row r="71" spans="2:44" hidden="1" x14ac:dyDescent="0.25">
      <c r="C71" s="382" t="s">
        <v>567</v>
      </c>
      <c r="D71" s="382"/>
      <c r="E71" s="382"/>
      <c r="F71" s="382"/>
      <c r="G71" s="382"/>
      <c r="H71" s="382"/>
      <c r="I71" s="383">
        <v>10</v>
      </c>
      <c r="T71" s="203">
        <f t="shared" si="3"/>
        <v>0</v>
      </c>
    </row>
    <row r="72" spans="2:44" hidden="1" x14ac:dyDescent="0.25">
      <c r="C72" s="382" t="s">
        <v>568</v>
      </c>
      <c r="D72" s="382"/>
      <c r="E72" s="382"/>
      <c r="F72" s="382"/>
      <c r="G72" s="382"/>
      <c r="H72" s="382"/>
      <c r="I72" s="383">
        <v>10</v>
      </c>
      <c r="T72" s="203">
        <f t="shared" si="3"/>
        <v>0</v>
      </c>
    </row>
    <row r="73" spans="2:44" ht="180" hidden="1" x14ac:dyDescent="0.25">
      <c r="B73" s="394"/>
      <c r="C73" s="395" t="s">
        <v>569</v>
      </c>
      <c r="D73" s="395"/>
      <c r="E73" s="395"/>
      <c r="F73" s="395"/>
      <c r="G73" s="395"/>
      <c r="H73" s="395"/>
      <c r="I73" s="396" t="s">
        <v>570</v>
      </c>
      <c r="J73" s="395" t="s">
        <v>571</v>
      </c>
      <c r="K73" s="395" t="s">
        <v>572</v>
      </c>
      <c r="L73" s="395" t="s">
        <v>573</v>
      </c>
      <c r="M73" s="395" t="s">
        <v>574</v>
      </c>
      <c r="N73" s="395" t="s">
        <v>575</v>
      </c>
      <c r="O73" s="397"/>
      <c r="P73" s="397"/>
      <c r="Q73" s="398" t="s">
        <v>576</v>
      </c>
      <c r="R73" s="399" t="s">
        <v>577</v>
      </c>
      <c r="S73" s="399"/>
      <c r="T73" s="203" t="e">
        <f t="shared" si="3"/>
        <v>#VALUE!</v>
      </c>
      <c r="U73" s="398" t="s">
        <v>578</v>
      </c>
      <c r="V73" s="395" t="s">
        <v>579</v>
      </c>
      <c r="W73" s="395" t="s">
        <v>580</v>
      </c>
      <c r="X73" s="395"/>
      <c r="Y73" s="395" t="s">
        <v>581</v>
      </c>
      <c r="Z73" s="395" t="s">
        <v>582</v>
      </c>
      <c r="AA73" s="395" t="s">
        <v>583</v>
      </c>
      <c r="AB73" s="395"/>
      <c r="AC73" s="395" t="s">
        <v>584</v>
      </c>
      <c r="AD73" s="395" t="s">
        <v>585</v>
      </c>
      <c r="AE73" s="395" t="s">
        <v>586</v>
      </c>
      <c r="AF73" s="395" t="s">
        <v>587</v>
      </c>
      <c r="AG73" s="395" t="s">
        <v>588</v>
      </c>
      <c r="AH73" s="395" t="s">
        <v>589</v>
      </c>
      <c r="AI73" s="395" t="s">
        <v>590</v>
      </c>
      <c r="AJ73" s="395" t="s">
        <v>591</v>
      </c>
      <c r="AK73" s="395" t="s">
        <v>592</v>
      </c>
      <c r="AL73" s="395" t="s">
        <v>593</v>
      </c>
      <c r="AM73" s="395" t="s">
        <v>594</v>
      </c>
      <c r="AN73" s="395" t="s">
        <v>595</v>
      </c>
      <c r="AO73" s="395" t="s">
        <v>596</v>
      </c>
      <c r="AP73" s="395" t="s">
        <v>597</v>
      </c>
      <c r="AQ73" s="395" t="s">
        <v>598</v>
      </c>
      <c r="AR73" s="395" t="s">
        <v>599</v>
      </c>
    </row>
    <row r="74" spans="2:44" ht="30" hidden="1" x14ac:dyDescent="0.25">
      <c r="B74" s="400" t="s">
        <v>600</v>
      </c>
      <c r="C74" s="400" t="s">
        <v>251</v>
      </c>
      <c r="D74" s="400"/>
      <c r="E74" s="400"/>
      <c r="F74" s="400"/>
      <c r="G74" s="400"/>
      <c r="H74" s="400"/>
      <c r="I74" s="400" t="s">
        <v>600</v>
      </c>
      <c r="J74" s="200" t="s">
        <v>380</v>
      </c>
      <c r="K74" s="401" t="s">
        <v>139</v>
      </c>
      <c r="L74" s="401" t="s">
        <v>139</v>
      </c>
      <c r="M74" s="401" t="s">
        <v>139</v>
      </c>
      <c r="N74" s="401" t="s">
        <v>139</v>
      </c>
      <c r="O74" s="402"/>
      <c r="P74" s="402"/>
      <c r="Q74" s="403" t="s">
        <v>601</v>
      </c>
      <c r="R74" s="403" t="s">
        <v>600</v>
      </c>
      <c r="S74" s="403"/>
      <c r="T74" s="203" t="e">
        <f t="shared" si="3"/>
        <v>#VALUE!</v>
      </c>
      <c r="U74" s="403" t="s">
        <v>535</v>
      </c>
      <c r="V74" s="403">
        <v>0.2</v>
      </c>
      <c r="W74" s="403">
        <v>80</v>
      </c>
      <c r="X74" s="403"/>
      <c r="Y74" s="403">
        <v>6</v>
      </c>
      <c r="Z74" s="403">
        <v>12</v>
      </c>
      <c r="AA74" s="403">
        <v>0.42</v>
      </c>
      <c r="AB74" s="403"/>
      <c r="AC74" s="403">
        <v>5</v>
      </c>
      <c r="AD74" s="401" t="s">
        <v>139</v>
      </c>
      <c r="AE74" s="403">
        <v>63</v>
      </c>
      <c r="AF74" s="403">
        <v>0.16</v>
      </c>
      <c r="AG74" s="403">
        <f>ROUND(AF74*2.20462,2)</f>
        <v>0.35</v>
      </c>
      <c r="AH74" s="403">
        <v>433.92</v>
      </c>
      <c r="AI74" s="403">
        <v>40</v>
      </c>
      <c r="AJ74" s="403">
        <v>131.22999999999999</v>
      </c>
      <c r="AK74" s="403" t="s">
        <v>602</v>
      </c>
      <c r="AL74" s="403" t="s">
        <v>603</v>
      </c>
      <c r="AM74" s="403" t="s">
        <v>383</v>
      </c>
      <c r="AN74" s="403" t="s">
        <v>384</v>
      </c>
      <c r="AO74" s="403" t="s">
        <v>385</v>
      </c>
      <c r="AP74" s="403" t="s">
        <v>386</v>
      </c>
      <c r="AQ74" s="403" t="s">
        <v>387</v>
      </c>
      <c r="AR74" s="403" t="s">
        <v>388</v>
      </c>
    </row>
    <row r="89" spans="1:1" x14ac:dyDescent="0.25">
      <c r="A89" s="405" t="s">
        <v>0</v>
      </c>
    </row>
    <row r="90" spans="1:1" x14ac:dyDescent="0.25">
      <c r="A90" s="119" t="s">
        <v>604</v>
      </c>
    </row>
  </sheetData>
  <autoFilter ref="A1:CB44" xr:uid="{00000000-0009-0000-0000-000000000000}">
    <filterColumn colId="5">
      <filters>
        <filter val="Rollers"/>
      </filters>
    </filterColumn>
  </autoFilter>
  <dataValidations count="29">
    <dataValidation type="list" allowBlank="1" showInputMessage="1" showErrorMessage="1" errorTitle="SOLIDWORKS Error:" error="The value you have entered is invalid.  Please enter a valid value before continuing." promptTitle="$NEVER_EXPAND_IN_BOM" prompt="Allow this component to be expanded in a BOM_x000a_Possible Options:_x000a_Yes_x000a_No_x000a_Y=Yes_x000a_N=No_x000a_1=Yes_x000a_0=No" sqref="C74:H74" xr:uid="{DAECF11B-8272-48D9-AA16-169E3FF7EF7C}">
      <formula1>"YES,NO,Y,N,1,0"</formula1>
    </dataValidation>
    <dataValidation allowBlank="1" showInputMessage="1" promptTitle="$PRP@PARTNO" prompt="$PRP:&quot;SW-File Name&quot;" sqref="I74" xr:uid="{A65C7257-9704-4C5C-BD56-5C67B9D702DC}"/>
    <dataValidation allowBlank="1" showInputMessage="1" promptTitle="$PRP@DESCRIPTION" prompt="-" sqref="J74" xr:uid="{0F045E8A-9CB5-4930-88AA-C3131BBBB791}"/>
    <dataValidation allowBlank="1" showInputMessage="1" promptTitle="$PRP@MATERIAL" prompt="-" sqref="K74" xr:uid="{807A2661-AFDE-4D45-BCD6-4A8FA42A44C9}"/>
    <dataValidation allowBlank="1" showInputMessage="1" promptTitle="$PRP@SUPPLIER" prompt="-" sqref="L74" xr:uid="{3991EC85-D79D-4206-AD4E-04F0F054B27D}"/>
    <dataValidation allowBlank="1" showInputMessage="1" promptTitle="$PRP@COLOUR" prompt="-" sqref="M74" xr:uid="{2FE2F714-B823-416F-A629-2F8F5FE040BB}"/>
    <dataValidation allowBlank="1" showInputMessage="1" promptTitle="$PRP@REMARKS" prompt="-" sqref="AD74 N74:P74" xr:uid="{911CA272-CAB3-42AB-962F-6795464401B4}"/>
    <dataValidation allowBlank="1" showInputMessage="1" promptTitle="$PRP@WEIGHT" prompt="See Table" sqref="Q74" xr:uid="{AB75244F-5AE2-446E-A1EA-1BA963D5B455}"/>
    <dataValidation type="list" showInputMessage="1" showErrorMessage="1" errorTitle="SOLIDWORKS Error:" error="The value you have entered is invalid.  Please enter a valid value before continuing." promptTitle="$CONFIGURATION@SHELL_7_2_1&lt;1&gt;" prompt="Select the configuration name." sqref="R74:S74" xr:uid="{00FC7EE5-1E39-4500-BADE-3A77D37ED795}">
      <formula1>"MTDCBRF18-0.2,MTDCRF18-0.2,"</formula1>
    </dataValidation>
    <dataValidation allowBlank="1" showInputMessage="1" promptTitle="$PRP@POWER SOURCE" prompt="DC" sqref="U74" xr:uid="{8D98724C-D4EA-4C93-800D-6AC13E1BE315}"/>
    <dataValidation allowBlank="1" showInputMessage="1" promptTitle="$PRP@TORQUE" prompt="0.2" sqref="V74" xr:uid="{BD60DC17-A55E-4CA2-B306-08921E46A88F}"/>
    <dataValidation allowBlank="1" showInputMessage="1" promptTitle="$PRP@SPEED" prompt="80" sqref="W74:X74" xr:uid="{2FF408A1-EEC2-4D74-BA58-945DC2D01F72}"/>
    <dataValidation allowBlank="1" showInputMessage="1" promptTitle="$PRP@MAX CONTINUOUS RUN TIME" prompt="6" sqref="Y74" xr:uid="{A53386B1-9E8E-4B85-81C7-B54B432DB959}"/>
    <dataValidation allowBlank="1" showInputMessage="1" promptTitle="$PRP@VOLTAGE" prompt="12" sqref="Z74" xr:uid="{EC99B52E-0087-4911-92BA-23D394513DE4}"/>
    <dataValidation allowBlank="1" showInputMessage="1" promptTitle="$PRP@CURRENT" prompt="0.42" sqref="AA74:AB74" xr:uid="{063D5080-C80B-4616-9F3E-725FAE8843F1}"/>
    <dataValidation allowBlank="1" showInputMessage="1" promptTitle="$PRP@POWER" prompt="5" sqref="AC74" xr:uid="{41DC4379-38EA-4EDD-9C4D-3A1AE8AA8BB4}"/>
    <dataValidation allowBlank="1" showInputMessage="1" promptTitle="$PRP@SOUND LEVEL" prompt="63" sqref="AE74" xr:uid="{B0C5F2FD-5378-4318-B9AC-58D6FCC7DEF3}"/>
    <dataValidation allowBlank="1" showInputMessage="1" promptTitle="$PRP@WEIGHT KG" prompt="0.16" sqref="AF74" xr:uid="{115A0B5B-7867-44BF-9324-6E5316BD0A77}"/>
    <dataValidation allowBlank="1" showInputMessage="1" promptTitle="$PRP@RADIO FREQUENCY" prompt="433.92" sqref="AH74" xr:uid="{5FF96E21-4DA3-451D-870B-14674F314436}"/>
    <dataValidation allowBlank="1" showInputMessage="1" promptTitle="$PRP@DISTANCE M" prompt="40" sqref="AI74" xr:uid="{41CDF443-C1A9-4F82-82B2-65E80C51FAED}"/>
    <dataValidation allowBlank="1" showInputMessage="1" promptTitle="$PRP@DISTANCE FT" prompt="131.23" sqref="AJ74" xr:uid="{E46FEEAE-C602-4CCA-8D3C-5EDCF99C451E}"/>
    <dataValidation allowBlank="1" showInputMessage="1" promptTitle="$PRP@TEMP WORKING RANGE C" prompt="0-60" sqref="AK74" xr:uid="{B3938A08-201E-4B93-804C-C1FAB1F22CA7}"/>
    <dataValidation allowBlank="1" showInputMessage="1" promptTitle="$PRP@TEMP WORKING RANGE F" prompt="32-140" sqref="AL74" xr:uid="{46D5AAFF-41F9-4C2A-A6BF-425C91114880}"/>
    <dataValidation allowBlank="1" showInputMessage="1" promptTitle="$PRP@RF PROTOCOL" prompt="ARC" sqref="AM74" xr:uid="{7AEF1912-5122-4794-8EF0-956A07F1DB21}"/>
    <dataValidation allowBlank="1" showInputMessage="1" promptTitle="$PRP@RF MODULATION" prompt="FSK" sqref="AN74" xr:uid="{AB2E1B0C-DD80-4BD5-BA03-55022FA80D69}"/>
    <dataValidation allowBlank="1" showInputMessage="1" promptTitle="$PRP@IP CODE" prompt="IP44" sqref="AO74" xr:uid="{134055BF-20BC-40EA-A132-72947631CC72}"/>
    <dataValidation allowBlank="1" showInputMessage="1" promptTitle="$PRP@LIMIT SWITCH TYPE" prompt="Electronic" sqref="AP74" xr:uid="{4F9A1C9E-45A4-40E0-A2E5-D05EF46E5396}"/>
    <dataValidation allowBlank="1" showInputMessage="1" promptTitle="$PRP@LIMIT RANGE" prompt="∞" sqref="AQ74" xr:uid="{0C7E0151-C223-4630-9C82-91ADCFF9189A}"/>
    <dataValidation allowBlank="1" showInputMessage="1" promptTitle="$PRP@INSULATION CLASS" prompt="III" sqref="AR74" xr:uid="{D4364CF0-4238-4714-9291-FBFBE7580447}"/>
  </dataValidation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80</vt:i4>
      </vt:variant>
    </vt:vector>
  </HeadingPairs>
  <TitlesOfParts>
    <vt:vector size="86" baseType="lpstr">
      <vt:lpstr>Main</vt:lpstr>
      <vt:lpstr>Revision Tracking</vt:lpstr>
      <vt:lpstr>From_KK</vt:lpstr>
      <vt:lpstr>Dictionary</vt:lpstr>
      <vt:lpstr>Chart Parameters</vt:lpstr>
      <vt:lpstr>Motors</vt:lpstr>
      <vt:lpstr>ballast_list</vt:lpstr>
      <vt:lpstr>ballast_lookup</vt:lpstr>
      <vt:lpstr>ballast_mass</vt:lpstr>
      <vt:lpstr>blank_statement</vt:lpstr>
      <vt:lpstr>Blind_Count</vt:lpstr>
      <vt:lpstr>blind_weight</vt:lpstr>
      <vt:lpstr>chart_five_value</vt:lpstr>
      <vt:lpstr>chart_four_value</vt:lpstr>
      <vt:lpstr>chart_on_off</vt:lpstr>
      <vt:lpstr>chart_one_value</vt:lpstr>
      <vt:lpstr>chart_three_value</vt:lpstr>
      <vt:lpstr>chart_two_value</vt:lpstr>
      <vt:lpstr>Control_Torque_requirement</vt:lpstr>
      <vt:lpstr>control_type</vt:lpstr>
      <vt:lpstr>conv_gsm</vt:lpstr>
      <vt:lpstr>conv_kg</vt:lpstr>
      <vt:lpstr>conv_kgPm</vt:lpstr>
      <vt:lpstr>conv_mm</vt:lpstr>
      <vt:lpstr>conv_Nm</vt:lpstr>
      <vt:lpstr>deflection_ratio</vt:lpstr>
      <vt:lpstr>DP_Ctrl_Fabric_Thickness</vt:lpstr>
      <vt:lpstr>DP_Ctrl_Fabric_Weight</vt:lpstr>
      <vt:lpstr>DP_Ctrl_Length</vt:lpstr>
      <vt:lpstr>DP_Ctrl_TORQUE</vt:lpstr>
      <vt:lpstr>DP_Ctrl_Weight</vt:lpstr>
      <vt:lpstr>drop_inc</vt:lpstr>
      <vt:lpstr>drop_start</vt:lpstr>
      <vt:lpstr>Main!fabric_dens</vt:lpstr>
      <vt:lpstr>fabric_density</vt:lpstr>
      <vt:lpstr>fabric_list</vt:lpstr>
      <vt:lpstr>fabric_list_thickness</vt:lpstr>
      <vt:lpstr>fabric_list_weight</vt:lpstr>
      <vt:lpstr>fabric_lookup</vt:lpstr>
      <vt:lpstr>fabric_thickness</vt:lpstr>
      <vt:lpstr>Friction_Loss</vt:lpstr>
      <vt:lpstr>gear</vt:lpstr>
      <vt:lpstr>gear_lookup</vt:lpstr>
      <vt:lpstr>gear_select</vt:lpstr>
      <vt:lpstr>Main!input_ballast</vt:lpstr>
      <vt:lpstr>Main!input_control</vt:lpstr>
      <vt:lpstr>input_drop</vt:lpstr>
      <vt:lpstr>Main!input_fabric</vt:lpstr>
      <vt:lpstr>Main!input_pwa</vt:lpstr>
      <vt:lpstr>Main!input_tube</vt:lpstr>
      <vt:lpstr>Main!input_wb</vt:lpstr>
      <vt:lpstr>input_width</vt:lpstr>
      <vt:lpstr>Language_Base</vt:lpstr>
      <vt:lpstr>Language_Dictionary</vt:lpstr>
      <vt:lpstr>Language_Selected</vt:lpstr>
      <vt:lpstr>Languages_ForSelection</vt:lpstr>
      <vt:lpstr>Link_Capacity_Lookup</vt:lpstr>
      <vt:lpstr>Link_Compatibility_Matrix</vt:lpstr>
      <vt:lpstr>Link_Compatibility_System</vt:lpstr>
      <vt:lpstr>Link_Compatibility_Tube</vt:lpstr>
      <vt:lpstr>LINK_List</vt:lpstr>
      <vt:lpstr>Link_Torque_Requirement</vt:lpstr>
      <vt:lpstr>motor_select</vt:lpstr>
      <vt:lpstr>Main!pwa</vt:lpstr>
      <vt:lpstr>pwa_list</vt:lpstr>
      <vt:lpstr>pwa_no</vt:lpstr>
      <vt:lpstr>pwa_yes</vt:lpstr>
      <vt:lpstr>Radius_Tube</vt:lpstr>
      <vt:lpstr>System_Compatibility_Control</vt:lpstr>
      <vt:lpstr>System_Compatibility_Matrix</vt:lpstr>
      <vt:lpstr>System_Compatibility_Tube</vt:lpstr>
      <vt:lpstr>system_selected</vt:lpstr>
      <vt:lpstr>tube_list</vt:lpstr>
      <vt:lpstr>tube_lookup</vt:lpstr>
      <vt:lpstr>tube_selected</vt:lpstr>
      <vt:lpstr>tubeod</vt:lpstr>
      <vt:lpstr>USL_User_Effort</vt:lpstr>
      <vt:lpstr>wb_ballast_mass</vt:lpstr>
      <vt:lpstr>Main!wb_mass</vt:lpstr>
      <vt:lpstr>weight_bar_list</vt:lpstr>
      <vt:lpstr>weight_bar_lookup</vt:lpstr>
      <vt:lpstr>width_inc</vt:lpstr>
      <vt:lpstr>width_start</vt:lpstr>
      <vt:lpstr>winder</vt:lpstr>
      <vt:lpstr>winder_lookup</vt:lpstr>
      <vt:lpstr>winder_select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Dylan Chua</dc:creator>
  <cp:lastModifiedBy>Madison Hanlan</cp:lastModifiedBy>
  <dcterms:created xsi:type="dcterms:W3CDTF">2018-05-30T22:40:57Z</dcterms:created>
  <dcterms:modified xsi:type="dcterms:W3CDTF">2018-09-04T03:17:27Z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ProjectNumber">
    <vt:lpwstr>
    </vt:lpwstr>
  </property>
  <property fmtid="{D5CDD505-2E9C-101B-9397-08002B2CF9AE}" pid="3" name="tProjectTitle">
    <vt:lpwstr> </vt:lpwstr>
  </property>
  <property fmtid="{D5CDD505-2E9C-101B-9397-08002B2CF9AE}" pid="4" name="Date">
    <vt:filetime>2018-06-05T00:00:00Z</vt:filetime>
  </property>
  <property fmtid="{D5CDD505-2E9C-101B-9397-08002B2CF9AE}" pid="5" name="Revision">
    <vt:lpwstr>02</vt:lpwstr>
  </property>
</Properties>
</file>